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filterPrivacy="1" codeName="ThisWorkbook"/>
  <xr:revisionPtr revIDLastSave="0" documentId="13_ncr:1_{A9A209B3-9885-47F9-8A97-B328AB09501C}" xr6:coauthVersionLast="47" xr6:coauthVersionMax="47" xr10:uidLastSave="{00000000-0000-0000-0000-000000000000}"/>
  <bookViews>
    <workbookView xWindow="-120" yWindow="-120" windowWidth="29040" windowHeight="15840" xr2:uid="{00000000-000D-0000-FFFF-FFFF00000000}"/>
  </bookViews>
  <sheets>
    <sheet name="Issue Tracker" sheetId="1" r:id="rId1"/>
    <sheet name="calculations" sheetId="2" state="hidden" r:id="rId2"/>
  </sheets>
  <definedNames>
    <definedName name="closed">OFFSET(calculations!$J$16,,,days)</definedName>
    <definedName name="closed_labels">closed+label_offset</definedName>
    <definedName name="dates">OFFSET(calculations!$H$16,,,days)</definedName>
    <definedName name="days">calculations!$J$7</definedName>
    <definedName name="keydate">calculations!$J$8</definedName>
    <definedName name="label_offset">MAX(opened, closed)*4%</definedName>
    <definedName name="maxdate">calculations!$J$5</definedName>
    <definedName name="mindate">calculations!$J$4</definedName>
    <definedName name="opened">OFFSET(calculations!$I$16,,,days)</definedName>
    <definedName name="opened_labels">opened+label_offset</definedName>
    <definedName name="_xlnm.Print_Titles" localSheetId="0">'Issue Tracker'!$3:$3</definedName>
    <definedName name="priorities">OFFSET(calculations!$T$16,,,calculations!$O$13+1)</definedName>
    <definedName name="prioritiesUnsorted">OFFSET(calculations!$O$15,,,calculations!$O$13+1)</definedName>
    <definedName name="priority">calculations!$J$10</definedName>
    <definedName name="RowTitleRegion1..J2">'Issue Tracker'!$G$1</definedName>
    <definedName name="Title1">Issues[[#Headers],['#]]</definedName>
    <definedName name="type">calculations!$J$9</definedName>
    <definedName name="types">OFFSET(calculations!$S$16,,,calculations!$N$13+1)</definedName>
    <definedName name="typesUnsorted">OFFSET(calculations!$N$15,,,calculations!$N$13+1)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 i="2" l="1"/>
  <c r="H93" i="1"/>
  <c r="H92" i="1"/>
  <c r="H90" i="1"/>
  <c r="H91" i="1"/>
  <c r="H89" i="1"/>
  <c r="H88" i="1"/>
  <c r="H87" i="1"/>
  <c r="H86" i="1"/>
  <c r="H85" i="1"/>
  <c r="H84" i="1"/>
  <c r="H83" i="1"/>
  <c r="H82" i="1"/>
  <c r="H81" i="1"/>
  <c r="H80" i="1"/>
  <c r="H79" i="1"/>
  <c r="H78" i="1"/>
  <c r="H77" i="1"/>
  <c r="H76" i="1"/>
  <c r="H75" i="1"/>
  <c r="H74" i="1"/>
  <c r="H73" i="1"/>
  <c r="H72" i="1"/>
  <c r="H71" i="1"/>
  <c r="H70" i="1"/>
  <c r="H69" i="1"/>
  <c r="H68" i="1"/>
  <c r="H67" i="1"/>
  <c r="H66"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F93" i="1"/>
  <c r="F92" i="1"/>
  <c r="F91" i="1"/>
  <c r="F90" i="1"/>
  <c r="F89" i="1"/>
  <c r="F88" i="1"/>
  <c r="F87" i="1"/>
  <c r="F86" i="1"/>
  <c r="F85" i="1"/>
  <c r="F84" i="1"/>
  <c r="F83" i="1"/>
  <c r="F82" i="1"/>
  <c r="F81" i="1"/>
  <c r="F80" i="1"/>
  <c r="F79" i="1"/>
  <c r="F78" i="1"/>
  <c r="F77" i="1"/>
  <c r="F76" i="1"/>
  <c r="F75" i="1"/>
  <c r="F74" i="1"/>
  <c r="F72" i="1"/>
  <c r="F73"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29" i="1"/>
  <c r="F30" i="1"/>
  <c r="F28" i="1"/>
  <c r="F27" i="1"/>
  <c r="F26" i="1"/>
  <c r="F24" i="1"/>
  <c r="F25" i="1"/>
  <c r="F23" i="1"/>
  <c r="F22" i="1"/>
  <c r="F21" i="1"/>
  <c r="F19" i="1"/>
  <c r="F20" i="1"/>
  <c r="F18" i="1"/>
  <c r="F17" i="1"/>
  <c r="F16" i="1"/>
  <c r="F15" i="1"/>
  <c r="F14" i="1"/>
  <c r="F13" i="1"/>
  <c r="H13" i="1"/>
  <c r="H12" i="1"/>
  <c r="H11" i="1"/>
  <c r="H10" i="1"/>
  <c r="H9" i="1"/>
  <c r="F10" i="1"/>
  <c r="F11" i="1"/>
  <c r="F12" i="1"/>
  <c r="F9" i="1"/>
  <c r="H8" i="1"/>
  <c r="H7" i="1"/>
  <c r="H6" i="1"/>
  <c r="F7" i="1"/>
  <c r="F8" i="1"/>
  <c r="F6" i="1"/>
  <c r="H5" i="1"/>
  <c r="H4" i="1"/>
  <c r="F5" i="1"/>
  <c r="F4" i="1"/>
  <c r="J8" i="2" l="1"/>
  <c r="J7" i="2"/>
  <c r="J10" i="2"/>
  <c r="J9" i="2"/>
  <c r="H26" i="2" l="1"/>
  <c r="H16" i="2"/>
  <c r="H19" i="2"/>
  <c r="H20" i="2"/>
  <c r="H27" i="2"/>
  <c r="H35" i="2"/>
  <c r="H38" i="2"/>
  <c r="H55" i="2"/>
  <c r="H59" i="2"/>
  <c r="H23" i="2"/>
  <c r="H34" i="2"/>
  <c r="H53" i="2"/>
  <c r="H56" i="2"/>
  <c r="H28" i="2"/>
  <c r="H40" i="2"/>
  <c r="H62" i="2"/>
  <c r="H21" i="2"/>
  <c r="H29" i="2"/>
  <c r="H44" i="2"/>
  <c r="H22" i="2"/>
  <c r="H31" i="2"/>
  <c r="H48" i="2"/>
  <c r="H17" i="2"/>
  <c r="H25" i="2"/>
  <c r="H32" i="2"/>
  <c r="H46" i="2"/>
  <c r="H77" i="2"/>
  <c r="H66" i="2"/>
  <c r="H33" i="2"/>
  <c r="H41" i="2"/>
  <c r="H54" i="2"/>
  <c r="H68" i="2"/>
  <c r="H37" i="2"/>
  <c r="H47" i="2"/>
  <c r="H75" i="2"/>
  <c r="H64" i="2"/>
  <c r="H49" i="2"/>
  <c r="H61" i="2"/>
  <c r="H42" i="2"/>
  <c r="H52" i="2"/>
  <c r="H60" i="2"/>
  <c r="H70" i="2"/>
  <c r="H74" i="2"/>
  <c r="H72" i="2"/>
  <c r="H67" i="2"/>
  <c r="H18" i="2"/>
  <c r="H24" i="2"/>
  <c r="H30" i="2"/>
  <c r="H36" i="2"/>
  <c r="H43" i="2"/>
  <c r="H50" i="2"/>
  <c r="H58" i="2"/>
  <c r="H65" i="2"/>
  <c r="H73" i="2"/>
  <c r="H76" i="2"/>
  <c r="H71" i="2"/>
  <c r="H78" i="2"/>
  <c r="H79" i="2"/>
  <c r="H80" i="2"/>
  <c r="H39" i="2"/>
  <c r="H45" i="2"/>
  <c r="H51" i="2"/>
  <c r="H57" i="2"/>
  <c r="H63" i="2"/>
  <c r="H69" i="2"/>
  <c r="O16" i="2" l="1" a="1"/>
  <c r="O16" i="2" s="1"/>
  <c r="N16" i="2" a="1"/>
  <c r="N16" i="2" s="1"/>
  <c r="O17" i="2" l="1" a="1"/>
  <c r="O17" i="2" s="1"/>
  <c r="N17" i="2" a="1"/>
  <c r="N17" i="2" s="1"/>
  <c r="O18" i="2" l="1" a="1"/>
  <c r="O18" i="2" s="1"/>
  <c r="N18" i="2" a="1"/>
  <c r="N18" i="2" s="1"/>
  <c r="O19" i="2" l="1" a="1"/>
  <c r="O19" i="2" s="1"/>
  <c r="N19" i="2" a="1"/>
  <c r="N19" i="2" s="1"/>
  <c r="N20" i="2" l="1" a="1"/>
  <c r="N20" i="2" s="1"/>
  <c r="O20" i="2" a="1"/>
  <c r="O20" i="2" s="1"/>
  <c r="O21" i="2" l="1" a="1"/>
  <c r="O21" i="2" s="1"/>
  <c r="O22" i="2" s="1" a="1"/>
  <c r="O22" i="2" s="1"/>
  <c r="N21" i="2" a="1"/>
  <c r="N21" i="2" s="1"/>
  <c r="N22" i="2" s="1" a="1"/>
  <c r="N22" i="2" s="1"/>
  <c r="N23" i="2" s="1" a="1"/>
  <c r="N23" i="2" s="1"/>
  <c r="N24" i="2" s="1" a="1"/>
  <c r="N24" i="2" s="1"/>
  <c r="N25" i="2" s="1" a="1"/>
  <c r="N25" i="2" s="1"/>
  <c r="N26" i="2" s="1" a="1"/>
  <c r="N26" i="2" s="1"/>
  <c r="N27" i="2" s="1" a="1"/>
  <c r="N27" i="2" s="1"/>
  <c r="O23" i="2" l="1" a="1"/>
  <c r="O23" i="2" s="1"/>
  <c r="O24" i="2" s="1" a="1"/>
  <c r="O24" i="2" s="1"/>
  <c r="O25" i="2" s="1" a="1"/>
  <c r="O25" i="2" s="1"/>
  <c r="O26" i="2" s="1" a="1"/>
  <c r="O26" i="2" s="1"/>
  <c r="O27" i="2" s="1" a="1"/>
  <c r="O27" i="2" s="1"/>
  <c r="O28" i="2" s="1" a="1"/>
  <c r="O28" i="2" s="1"/>
  <c r="O29" i="2" s="1" a="1"/>
  <c r="O29" i="2" s="1"/>
  <c r="O30" i="2" s="1" a="1"/>
  <c r="O30" i="2" s="1"/>
  <c r="O31" i="2" s="1" a="1"/>
  <c r="O31" i="2" s="1"/>
  <c r="O32" i="2" s="1" a="1"/>
  <c r="O32" i="2" s="1"/>
  <c r="O33" i="2" s="1" a="1"/>
  <c r="O33" i="2" s="1"/>
  <c r="O34" i="2" s="1" a="1"/>
  <c r="O34" i="2" s="1"/>
  <c r="O35" i="2" s="1" a="1"/>
  <c r="O35" i="2" s="1"/>
  <c r="O36" i="2" s="1" a="1"/>
  <c r="O36" i="2" s="1"/>
  <c r="O37" i="2" s="1" a="1"/>
  <c r="O37" i="2" s="1"/>
  <c r="O38" i="2" s="1" a="1"/>
  <c r="O38" i="2" s="1"/>
  <c r="O39" i="2" s="1" a="1"/>
  <c r="O39" i="2" s="1"/>
  <c r="O40" i="2" s="1" a="1"/>
  <c r="O40" i="2" s="1"/>
  <c r="O41" i="2" s="1" a="1"/>
  <c r="O41" i="2" s="1"/>
  <c r="O42" i="2" s="1" a="1"/>
  <c r="O42" i="2" s="1"/>
  <c r="O43" i="2" s="1" a="1"/>
  <c r="O43" i="2" s="1"/>
  <c r="O44" i="2" s="1" a="1"/>
  <c r="O44" i="2" s="1"/>
  <c r="O45" i="2" s="1" a="1"/>
  <c r="O45" i="2" s="1"/>
  <c r="O13" i="2" s="1"/>
  <c r="N28" i="2" a="1"/>
  <c r="N28" i="2" s="1"/>
  <c r="N29" i="2" s="1" a="1"/>
  <c r="N29" i="2" s="1"/>
  <c r="N30" i="2" s="1" a="1"/>
  <c r="N30" i="2" s="1"/>
  <c r="N31" i="2" s="1" a="1"/>
  <c r="N31" i="2" s="1"/>
  <c r="N32" i="2" s="1" a="1"/>
  <c r="N32" i="2" s="1"/>
  <c r="N33" i="2" s="1" a="1"/>
  <c r="N33" i="2" s="1"/>
  <c r="N34" i="2" s="1" a="1"/>
  <c r="N34" i="2" s="1"/>
  <c r="N35" i="2" s="1" a="1"/>
  <c r="N35" i="2" s="1"/>
  <c r="N36" i="2" s="1" a="1"/>
  <c r="N36" i="2" s="1"/>
  <c r="N37" i="2" s="1" a="1"/>
  <c r="N37" i="2" s="1"/>
  <c r="N38" i="2" s="1" a="1"/>
  <c r="N38" i="2" s="1"/>
  <c r="N39" i="2" s="1" a="1"/>
  <c r="N39" i="2" s="1"/>
  <c r="N40" i="2" s="1" a="1"/>
  <c r="N40" i="2" s="1"/>
  <c r="N41" i="2" s="1" a="1"/>
  <c r="N41" i="2" s="1"/>
  <c r="N42" i="2" s="1" a="1"/>
  <c r="N42" i="2" s="1"/>
  <c r="N43" i="2" s="1" a="1"/>
  <c r="N43" i="2" s="1"/>
  <c r="N44" i="2" s="1" a="1"/>
  <c r="N44" i="2" s="1"/>
  <c r="N45" i="2" s="1" a="1"/>
  <c r="N45" i="2" s="1"/>
  <c r="N13" i="2" s="1"/>
  <c r="S38" i="2" l="1" a="1"/>
  <c r="S38" i="2" s="1"/>
  <c r="S26" i="2" a="1"/>
  <c r="S26" i="2" s="1"/>
  <c r="S24" i="2" a="1"/>
  <c r="S24" i="2" s="1"/>
  <c r="S23" i="2" a="1"/>
  <c r="S23" i="2" s="1"/>
  <c r="S22" i="2" a="1"/>
  <c r="S22" i="2" s="1"/>
  <c r="S33" i="2" a="1"/>
  <c r="S33" i="2" s="1"/>
  <c r="S32" i="2" a="1"/>
  <c r="S32" i="2" s="1"/>
  <c r="S20" i="2" a="1"/>
  <c r="S20" i="2" s="1"/>
  <c r="S43" i="2" a="1"/>
  <c r="S43" i="2" s="1"/>
  <c r="S19" i="2" a="1"/>
  <c r="S19" i="2" s="1"/>
  <c r="S42" i="2" a="1"/>
  <c r="S42" i="2" s="1"/>
  <c r="S18" i="2" a="1"/>
  <c r="S18" i="2" s="1"/>
  <c r="S28" i="2" a="1"/>
  <c r="S28" i="2" s="1"/>
  <c r="S37" i="2" a="1"/>
  <c r="S37" i="2" s="1"/>
  <c r="S25" i="2" a="1"/>
  <c r="S25" i="2" s="1"/>
  <c r="S36" i="2" a="1"/>
  <c r="S36" i="2" s="1"/>
  <c r="S35" i="2" a="1"/>
  <c r="S35" i="2" s="1"/>
  <c r="S34" i="2" a="1"/>
  <c r="S34" i="2" s="1"/>
  <c r="S45" i="2" a="1"/>
  <c r="S45" i="2" s="1"/>
  <c r="S21" i="2" a="1"/>
  <c r="S21" i="2" s="1"/>
  <c r="S44" i="2" a="1"/>
  <c r="S44" i="2" s="1"/>
  <c r="S31" i="2" a="1"/>
  <c r="S31" i="2" s="1"/>
  <c r="S30" i="2" a="1"/>
  <c r="S30" i="2" s="1"/>
  <c r="S40" i="2" a="1"/>
  <c r="S40" i="2" s="1"/>
  <c r="S27" i="2" a="1"/>
  <c r="S27" i="2" s="1"/>
  <c r="S41" i="2" a="1"/>
  <c r="S41" i="2" s="1"/>
  <c r="S29" i="2" a="1"/>
  <c r="S29" i="2" s="1"/>
  <c r="S17" i="2" a="1"/>
  <c r="S17" i="2" s="1"/>
  <c r="S16" i="2" a="1"/>
  <c r="S16" i="2" s="1"/>
  <c r="S39" i="2" a="1"/>
  <c r="S39" i="2" s="1"/>
  <c r="O12" i="2"/>
  <c r="T18" i="2" a="1"/>
  <c r="T18" i="2" s="1"/>
  <c r="T30" i="2" a="1"/>
  <c r="T30" i="2" s="1"/>
  <c r="T42" i="2" a="1"/>
  <c r="T42" i="2" s="1"/>
  <c r="T32" i="2" a="1"/>
  <c r="T32" i="2" s="1"/>
  <c r="T44" i="2" a="1"/>
  <c r="T44" i="2" s="1"/>
  <c r="T21" i="2" a="1"/>
  <c r="T21" i="2" s="1"/>
  <c r="T45" i="2" a="1"/>
  <c r="T45" i="2" s="1"/>
  <c r="T22" i="2" a="1"/>
  <c r="T22" i="2" s="1"/>
  <c r="T16" i="2" a="1"/>
  <c r="T16" i="2" s="1"/>
  <c r="T35" i="2" a="1"/>
  <c r="T35" i="2" s="1"/>
  <c r="T36" i="2" a="1"/>
  <c r="T36" i="2" s="1"/>
  <c r="T25" i="2" a="1"/>
  <c r="T25" i="2" s="1"/>
  <c r="T38" i="2" a="1"/>
  <c r="T38" i="2" s="1"/>
  <c r="T19" i="2" a="1"/>
  <c r="T19" i="2" s="1"/>
  <c r="T31" i="2" a="1"/>
  <c r="T31" i="2" s="1"/>
  <c r="T43" i="2" a="1"/>
  <c r="T43" i="2" s="1"/>
  <c r="T20" i="2" a="1"/>
  <c r="T20" i="2" s="1"/>
  <c r="T33" i="2" a="1"/>
  <c r="T33" i="2" s="1"/>
  <c r="T34" i="2" a="1"/>
  <c r="T34" i="2" s="1"/>
  <c r="T23" i="2" a="1"/>
  <c r="T23" i="2" s="1"/>
  <c r="T24" i="2" a="1"/>
  <c r="T24" i="2" s="1"/>
  <c r="T37" i="2" a="1"/>
  <c r="T37" i="2" s="1"/>
  <c r="T26" i="2" a="1"/>
  <c r="T26" i="2" s="1"/>
  <c r="T17" i="2" a="1"/>
  <c r="T17" i="2" s="1"/>
  <c r="T41" i="2" a="1"/>
  <c r="T41" i="2" s="1"/>
  <c r="T27" i="2" a="1"/>
  <c r="T27" i="2" s="1"/>
  <c r="T39" i="2" a="1"/>
  <c r="T39" i="2" s="1"/>
  <c r="T28" i="2" a="1"/>
  <c r="T28" i="2" s="1"/>
  <c r="T40" i="2" a="1"/>
  <c r="T40" i="2" s="1"/>
  <c r="T29" i="2" a="1"/>
  <c r="T29" i="2" s="1"/>
  <c r="N12" i="2"/>
  <c r="N8" i="2"/>
  <c r="I16" i="2" l="1"/>
  <c r="I17" i="2" l="1"/>
  <c r="I18" i="2" s="1"/>
  <c r="I19" i="2" s="1"/>
  <c r="I20" i="2" s="1"/>
  <c r="I21" i="2" s="1"/>
  <c r="I22" i="2" s="1"/>
  <c r="I23" i="2" s="1"/>
  <c r="I24" i="2" s="1"/>
  <c r="I25" i="2" s="1"/>
  <c r="I26" i="2" s="1"/>
  <c r="I27" i="2" s="1"/>
  <c r="I28" i="2" s="1"/>
  <c r="I29" i="2" s="1"/>
  <c r="I30" i="2" s="1"/>
  <c r="I31" i="2" s="1"/>
  <c r="I32" i="2" s="1"/>
  <c r="I33" i="2" s="1"/>
  <c r="I34" i="2" s="1"/>
  <c r="I35" i="2" s="1"/>
  <c r="I36" i="2" s="1"/>
  <c r="I37" i="2" s="1"/>
  <c r="I38" i="2" s="1"/>
  <c r="I39" i="2" s="1"/>
  <c r="I40" i="2" s="1"/>
  <c r="I41" i="2" s="1"/>
  <c r="I42" i="2" s="1"/>
  <c r="I43" i="2" s="1"/>
  <c r="I44" i="2" s="1"/>
  <c r="I45" i="2" s="1"/>
  <c r="I46" i="2" s="1"/>
  <c r="I47" i="2" s="1"/>
  <c r="I48" i="2" s="1"/>
  <c r="I49" i="2" s="1"/>
  <c r="I50" i="2" s="1"/>
  <c r="I51" i="2" s="1"/>
  <c r="I52" i="2" s="1"/>
  <c r="I53" i="2" s="1"/>
  <c r="I54" i="2" s="1"/>
  <c r="I55" i="2" s="1"/>
  <c r="I56" i="2" s="1"/>
  <c r="I57" i="2" s="1"/>
  <c r="I58" i="2" s="1"/>
  <c r="I59" i="2" s="1"/>
  <c r="I60" i="2" s="1"/>
  <c r="I61" i="2" s="1"/>
  <c r="I62" i="2" s="1"/>
  <c r="I63" i="2" s="1"/>
  <c r="I64" i="2" s="1"/>
  <c r="I65" i="2" s="1"/>
  <c r="I66" i="2" s="1"/>
  <c r="I67" i="2" s="1"/>
  <c r="I68" i="2" s="1"/>
  <c r="I69" i="2" s="1"/>
  <c r="I70" i="2" s="1"/>
  <c r="I71" i="2" s="1"/>
  <c r="I72" i="2" s="1"/>
  <c r="I73" i="2" s="1"/>
  <c r="I74" i="2" s="1"/>
  <c r="I75" i="2" s="1"/>
  <c r="I76" i="2" s="1"/>
  <c r="I77" i="2" s="1"/>
  <c r="I78" i="2" s="1"/>
  <c r="I79" i="2" s="1"/>
  <c r="I80" i="2" s="1"/>
  <c r="J16" i="2"/>
  <c r="J17" i="2" s="1"/>
  <c r="J18" i="2" s="1"/>
  <c r="J19" i="2" s="1"/>
  <c r="J20" i="2" s="1"/>
  <c r="J21" i="2" s="1"/>
  <c r="J22" i="2" s="1"/>
  <c r="J23" i="2" s="1"/>
  <c r="J24" i="2" s="1"/>
  <c r="J25" i="2" s="1"/>
  <c r="J26" i="2" s="1"/>
  <c r="J27" i="2" s="1"/>
  <c r="J28" i="2" s="1"/>
  <c r="J29" i="2" s="1"/>
  <c r="J30" i="2" s="1"/>
  <c r="J31" i="2" s="1"/>
  <c r="J32" i="2" s="1"/>
  <c r="J33" i="2" s="1"/>
  <c r="J34" i="2" s="1"/>
  <c r="J35" i="2" s="1"/>
  <c r="J36" i="2" s="1"/>
  <c r="J37" i="2" s="1"/>
  <c r="J38" i="2" s="1"/>
  <c r="J39" i="2" s="1"/>
  <c r="J40" i="2" s="1"/>
  <c r="J41" i="2" s="1"/>
  <c r="J42" i="2" s="1"/>
  <c r="J43" i="2" s="1"/>
  <c r="J44" i="2" s="1"/>
  <c r="J45" i="2" s="1"/>
  <c r="J46" i="2" s="1"/>
  <c r="J47" i="2" s="1"/>
  <c r="J48" i="2" s="1"/>
  <c r="J49" i="2" s="1"/>
  <c r="J50" i="2" s="1"/>
  <c r="J51" i="2" s="1"/>
  <c r="J52" i="2" s="1"/>
  <c r="J53" i="2" s="1"/>
  <c r="J54" i="2" s="1"/>
  <c r="J55" i="2" s="1"/>
  <c r="J56" i="2" s="1"/>
  <c r="J57" i="2" s="1"/>
  <c r="J58" i="2" s="1"/>
  <c r="J59" i="2" s="1"/>
  <c r="J60" i="2" s="1"/>
  <c r="J61" i="2" s="1"/>
  <c r="J62" i="2" s="1"/>
  <c r="J63" i="2" s="1"/>
  <c r="J64" i="2" s="1"/>
  <c r="J65" i="2" s="1"/>
  <c r="J66" i="2" s="1"/>
  <c r="J67" i="2" s="1"/>
  <c r="J68" i="2" s="1"/>
  <c r="J69" i="2" s="1"/>
  <c r="J70" i="2" s="1"/>
  <c r="J71" i="2" s="1"/>
  <c r="J72" i="2" s="1"/>
  <c r="J73" i="2" s="1"/>
  <c r="J74" i="2" s="1"/>
  <c r="J75" i="2" s="1"/>
  <c r="J76" i="2" s="1"/>
  <c r="J77" i="2" s="1"/>
  <c r="J78" i="2" s="1"/>
  <c r="J79" i="2" s="1"/>
  <c r="J80" i="2" s="1"/>
</calcChain>
</file>

<file path=xl/sharedStrings.xml><?xml version="1.0" encoding="utf-8"?>
<sst xmlns="http://schemas.openxmlformats.org/spreadsheetml/2006/main" count="478" uniqueCount="124">
  <si>
    <t>Type</t>
  </si>
  <si>
    <t>Priority</t>
  </si>
  <si>
    <t>#</t>
  </si>
  <si>
    <t>Issue #1</t>
  </si>
  <si>
    <t>Issue #2</t>
  </si>
  <si>
    <t>Issue #3</t>
  </si>
  <si>
    <t>Issue #4</t>
  </si>
  <si>
    <t>Issue #5</t>
  </si>
  <si>
    <t>Issue #6</t>
  </si>
  <si>
    <t>Issue #7</t>
  </si>
  <si>
    <t>Issue #8</t>
  </si>
  <si>
    <t>Issue #9</t>
  </si>
  <si>
    <t>Issue #10</t>
  </si>
  <si>
    <t>Issue #11</t>
  </si>
  <si>
    <t>Issue #12</t>
  </si>
  <si>
    <t>Issue #13</t>
  </si>
  <si>
    <t>Issue #14</t>
  </si>
  <si>
    <t>Issue #15</t>
  </si>
  <si>
    <t>Issue #16</t>
  </si>
  <si>
    <t>Issue #17</t>
  </si>
  <si>
    <t>Issue #18</t>
  </si>
  <si>
    <t>Issue #19</t>
  </si>
  <si>
    <t>Issue #20</t>
  </si>
  <si>
    <t>Issue #21</t>
  </si>
  <si>
    <t>Issue #22</t>
  </si>
  <si>
    <t>Issue #23</t>
  </si>
  <si>
    <t>Issue #24</t>
  </si>
  <si>
    <t>Issue #25</t>
  </si>
  <si>
    <t>Issue #26</t>
  </si>
  <si>
    <t>Issue #27</t>
  </si>
  <si>
    <t>Issue #28</t>
  </si>
  <si>
    <t>Issue #29</t>
  </si>
  <si>
    <t>Issue #30</t>
  </si>
  <si>
    <t>Issue #31</t>
  </si>
  <si>
    <t>Issue #32</t>
  </si>
  <si>
    <t>Issue #33</t>
  </si>
  <si>
    <t>Issue #34</t>
  </si>
  <si>
    <t>Issue #35</t>
  </si>
  <si>
    <t>Issue #36</t>
  </si>
  <si>
    <t>Issue #37</t>
  </si>
  <si>
    <t>Issue #38</t>
  </si>
  <si>
    <t>Issue #39</t>
  </si>
  <si>
    <t>Issue #40</t>
  </si>
  <si>
    <t>Issue #41</t>
  </si>
  <si>
    <t>Issue #42</t>
  </si>
  <si>
    <t>Opened</t>
  </si>
  <si>
    <t>Closed</t>
  </si>
  <si>
    <t>*</t>
  </si>
  <si>
    <t>Date</t>
  </si>
  <si>
    <t>Days</t>
  </si>
  <si>
    <t>Types</t>
  </si>
  <si>
    <t>Priorities</t>
  </si>
  <si>
    <t>Issue #43</t>
  </si>
  <si>
    <t>Issue #44</t>
  </si>
  <si>
    <t>Issue #45</t>
  </si>
  <si>
    <t>Issue #46</t>
  </si>
  <si>
    <t>Issue #47</t>
  </si>
  <si>
    <t>Issue #48</t>
  </si>
  <si>
    <t>Issue #49</t>
  </si>
  <si>
    <t>Issue #50</t>
  </si>
  <si>
    <t>Issue #51</t>
  </si>
  <si>
    <t>Issue #52</t>
  </si>
  <si>
    <t>Issue #53</t>
  </si>
  <si>
    <t>Issue #54</t>
  </si>
  <si>
    <t>Issue #55</t>
  </si>
  <si>
    <t>Issue #56</t>
  </si>
  <si>
    <t>Issue #57</t>
  </si>
  <si>
    <t>Issue #58</t>
  </si>
  <si>
    <t>Issue #59</t>
  </si>
  <si>
    <t>Issue #60</t>
  </si>
  <si>
    <t>Issue #61</t>
  </si>
  <si>
    <t>Issue #62</t>
  </si>
  <si>
    <t>Issue #63</t>
  </si>
  <si>
    <t>Issue #64</t>
  </si>
  <si>
    <t>Issue #65</t>
  </si>
  <si>
    <t>Issue #66</t>
  </si>
  <si>
    <t>Issue #67</t>
  </si>
  <si>
    <t>Issue #68</t>
  </si>
  <si>
    <t>Issue #69</t>
  </si>
  <si>
    <t>Issue #70</t>
  </si>
  <si>
    <t>Issue #71</t>
  </si>
  <si>
    <t>Issue #72</t>
  </si>
  <si>
    <t>Issue #73</t>
  </si>
  <si>
    <t>Issue #74</t>
  </si>
  <si>
    <t>Issue #75</t>
  </si>
  <si>
    <t>Issue #76</t>
  </si>
  <si>
    <t>Issue #77</t>
  </si>
  <si>
    <t>Issue #78</t>
  </si>
  <si>
    <t>Issue #79</t>
  </si>
  <si>
    <t>Issue #80</t>
  </si>
  <si>
    <t>Issue #81</t>
  </si>
  <si>
    <t>Issue #82</t>
  </si>
  <si>
    <t>Issue #83</t>
  </si>
  <si>
    <t>Issue #84</t>
  </si>
  <si>
    <t>Issue #85</t>
  </si>
  <si>
    <t>Issue #86</t>
  </si>
  <si>
    <t>Issue #87</t>
  </si>
  <si>
    <t>Issue #88</t>
  </si>
  <si>
    <t>Issue #89</t>
  </si>
  <si>
    <t>Issue #90</t>
  </si>
  <si>
    <t>Min</t>
  </si>
  <si>
    <t>Max</t>
  </si>
  <si>
    <t>*** This sheet should remain hidden ***</t>
  </si>
  <si>
    <t>Type 1</t>
  </si>
  <si>
    <t>High</t>
  </si>
  <si>
    <t>Type 2</t>
  </si>
  <si>
    <t>Medium</t>
  </si>
  <si>
    <t>James</t>
  </si>
  <si>
    <t>Low</t>
  </si>
  <si>
    <t>Kim</t>
  </si>
  <si>
    <t>Type 3</t>
  </si>
  <si>
    <t>Lilly</t>
  </si>
  <si>
    <t>Ted</t>
  </si>
  <si>
    <t>Type 4</t>
  </si>
  <si>
    <t>Sorted</t>
  </si>
  <si>
    <t>ISSUE</t>
  </si>
  <si>
    <t>TYPE</t>
  </si>
  <si>
    <t>PRIORITY</t>
  </si>
  <si>
    <t>OPENED ON</t>
  </si>
  <si>
    <t>OPENED BY</t>
  </si>
  <si>
    <t>CLOSED ON</t>
  </si>
  <si>
    <t>CLOSED BY</t>
  </si>
  <si>
    <t>NOTES</t>
  </si>
  <si>
    <t>ISSUE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</si>
</sst>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2"/>
      <color theme="0"/>
      <name val="Calibri"/>
      <family val="2"/>
      <scheme val="minor"/>
    </font>
    <font>
      <sz val="11"/>
      <color theme="1"/>
      <name val="Calibri"/>
      <family val="2"/>
      <scheme val="minor"/>
    </font>
    <font>
      <b/>
      <sz val="19"/>
      <color theme="0"/>
      <name val="Calibri"/>
      <family val="2"/>
      <scheme val="minor"/>
    </font>
    <font>
      <sz val="13"/>
      <color theme="0"/>
      <name val="Calibri"/>
      <family val="2"/>
      <scheme val="minor"/>
    </font>
    <font>
      <sz val="28"/>
      <color theme="0"/>
      <name val="Calibri"/>
      <family val="2"/>
      <scheme val="major"/>
    </font>
    <font>
      <b/>
      <sz val="16"/>
      <color theme="0"/>
      <name val="Calibri"/>
      <family val="2"/>
      <scheme val="minor"/>
    </font>
    <font>
      <b/>
      <sz val="16"/>
      <color theme="4"/>
      <name val="Calibri"/>
      <family val="2"/>
      <scheme val="minor"/>
    </font>
    <font>
      <b/>
      <sz val="16"/>
      <color theme="6"/>
      <name val="Calibri"/>
      <family val="2"/>
      <scheme val="minor"/>
    </font>
    <font>
      <sz val="12"/>
      <color theme="1" tint="0.34998626667073579"/>
      <name val="Calibri"/>
      <family val="2"/>
      <scheme val="minor"/>
    </font>
    <font>
      <sz val="12"/>
      <color theme="1"/>
      <name val="Century Gothic"/>
      <family val="2"/>
    </font>
    <font>
      <b/>
      <sz val="28"/>
      <color theme="0"/>
      <name val="Century Gothic"/>
      <family val="2"/>
    </font>
    <font>
      <b/>
      <sz val="14"/>
      <color theme="0"/>
      <name val="Century Gothic"/>
      <family val="2"/>
    </font>
  </fonts>
  <fills count="5">
    <fill>
      <patternFill patternType="none"/>
    </fill>
    <fill>
      <patternFill patternType="gray125"/>
    </fill>
    <fill>
      <patternFill patternType="solid">
        <fgColor theme="1" tint="0.34998626667073579"/>
        <bgColor indexed="64"/>
      </patternFill>
    </fill>
    <fill>
      <patternFill patternType="solid">
        <fgColor theme="1" tint="0.14996795556505021"/>
        <bgColor indexed="64"/>
      </patternFill>
    </fill>
    <fill>
      <patternFill patternType="solid">
        <fgColor rgb="FF1755B9"/>
        <bgColor indexed="64"/>
      </patternFill>
    </fill>
  </fills>
  <borders count="2">
    <border>
      <left/>
      <right/>
      <top/>
      <bottom/>
      <diagonal/>
    </border>
    <border>
      <left/>
      <right/>
      <top style="thick">
        <color theme="1" tint="0.499984740745262"/>
      </top>
      <bottom/>
      <diagonal/>
    </border>
  </borders>
  <cellStyleXfs count="9">
    <xf numFmtId="0" fontId="0" fillId="2" borderId="0">
      <alignment horizontal="left" vertical="center" wrapText="1" indent="1"/>
    </xf>
    <xf numFmtId="14" fontId="1" fillId="0" borderId="0" applyFont="0" applyFill="0" applyBorder="0" applyAlignment="0" applyProtection="0"/>
    <xf numFmtId="0" fontId="4" fillId="3" borderId="1">
      <alignment horizontal="left" vertical="center" wrapText="1"/>
    </xf>
    <xf numFmtId="0" fontId="3" fillId="3" borderId="0">
      <alignment horizontal="left" vertical="top"/>
    </xf>
    <xf numFmtId="0" fontId="2" fillId="3" borderId="1">
      <alignment horizontal="left"/>
    </xf>
    <xf numFmtId="0" fontId="5" fillId="0" borderId="0" applyNumberFormat="0" applyFill="0" applyBorder="0" applyAlignment="0"/>
    <xf numFmtId="0" fontId="6" fillId="0" borderId="0" applyNumberFormat="0" applyFill="0" applyAlignment="0" applyProtection="0"/>
    <xf numFmtId="0" fontId="7" fillId="0" borderId="0" applyNumberFormat="0" applyFill="0" applyBorder="0" applyAlignment="0" applyProtection="0"/>
    <xf numFmtId="0" fontId="8" fillId="2" borderId="0"/>
  </cellStyleXfs>
  <cellXfs count="9">
    <xf numFmtId="0" fontId="0" fillId="2" borderId="0" xfId="0">
      <alignment horizontal="left" vertical="center" wrapText="1" indent="1"/>
    </xf>
    <xf numFmtId="14" fontId="0" fillId="2" borderId="0" xfId="0" applyNumberFormat="1">
      <alignment horizontal="left" vertical="center" wrapText="1" indent="1"/>
    </xf>
    <xf numFmtId="0" fontId="9" fillId="0" borderId="0" xfId="0" applyFont="1" applyFill="1">
      <alignment horizontal="left" vertical="center" wrapText="1" indent="1"/>
    </xf>
    <xf numFmtId="0" fontId="10" fillId="0" borderId="0" xfId="2" applyFont="1" applyFill="1" applyBorder="1" applyAlignment="1">
      <alignment vertical="center" wrapText="1"/>
    </xf>
    <xf numFmtId="14" fontId="9" fillId="0" borderId="0" xfId="1" applyFont="1" applyFill="1" applyBorder="1" applyAlignment="1">
      <alignment horizontal="left" vertical="center" indent="1"/>
    </xf>
    <xf numFmtId="0" fontId="11" fillId="4" borderId="0" xfId="5" applyFont="1" applyFill="1" applyBorder="1" applyAlignment="1">
      <alignment horizontal="left" vertical="center" indent="1"/>
    </xf>
    <xf numFmtId="0" fontId="11" fillId="4" borderId="0" xfId="6" applyFont="1" applyFill="1" applyAlignment="1">
      <alignment horizontal="left" vertical="center" indent="1"/>
    </xf>
    <xf numFmtId="0" fontId="11" fillId="4" borderId="0" xfId="7" applyFont="1" applyFill="1" applyBorder="1" applyAlignment="1">
      <alignment horizontal="left" vertical="center" indent="1"/>
    </xf>
    <xf numFmtId="0" fontId="10" fillId="4" borderId="0" xfId="2" applyFont="1" applyFill="1" applyBorder="1" applyAlignment="1">
      <alignment horizontal="center" vertical="center" wrapText="1"/>
    </xf>
  </cellXfs>
  <cellStyles count="9">
    <cellStyle name="Date" xfId="1" xr:uid="{00000000-0005-0000-0000-000000000000}"/>
    <cellStyle name="Heading 1" xfId="4" builtinId="16" customBuiltin="1"/>
    <cellStyle name="Heading 2" xfId="5" builtinId="17" customBuiltin="1"/>
    <cellStyle name="Heading 3" xfId="6" builtinId="18" customBuiltin="1"/>
    <cellStyle name="Heading 4" xfId="7" builtinId="19" customBuiltin="1"/>
    <cellStyle name="Input" xfId="3" builtinId="20" customBuiltin="1"/>
    <cellStyle name="Normal" xfId="0" builtinId="0" customBuiltin="1"/>
    <cellStyle name="Note" xfId="8" builtinId="10" customBuiltin="1"/>
    <cellStyle name="Title" xfId="2" builtinId="15" customBuiltin="1"/>
  </cellStyles>
  <dxfs count="14">
    <dxf>
      <font>
        <strike val="0"/>
        <outline val="0"/>
        <shadow val="0"/>
        <u val="none"/>
        <vertAlign val="baseline"/>
        <color theme="1"/>
        <name val="Century Gothic"/>
        <family val="2"/>
        <scheme val="none"/>
      </font>
      <fill>
        <patternFill patternType="none">
          <fgColor indexed="64"/>
          <bgColor auto="1"/>
        </patternFill>
      </fill>
    </dxf>
    <dxf>
      <font>
        <strike val="0"/>
        <outline val="0"/>
        <shadow val="0"/>
        <u val="none"/>
        <vertAlign val="baseline"/>
        <color theme="1"/>
        <name val="Century Gothic"/>
        <family val="2"/>
        <scheme val="none"/>
      </font>
      <fill>
        <patternFill patternType="none">
          <fgColor indexed="64"/>
          <bgColor auto="1"/>
        </patternFill>
      </fill>
    </dxf>
    <dxf>
      <font>
        <strike val="0"/>
        <outline val="0"/>
        <shadow val="0"/>
        <u val="none"/>
        <vertAlign val="baseline"/>
        <color theme="1"/>
        <name val="Century Gothic"/>
        <family val="2"/>
        <scheme val="none"/>
      </font>
      <fill>
        <patternFill patternType="none">
          <fgColor indexed="64"/>
          <bgColor auto="1"/>
        </patternFill>
      </fill>
    </dxf>
    <dxf>
      <font>
        <strike val="0"/>
        <outline val="0"/>
        <shadow val="0"/>
        <u val="none"/>
        <vertAlign val="baseline"/>
        <color theme="1"/>
        <name val="Century Gothic"/>
        <family val="2"/>
        <scheme val="none"/>
      </font>
      <fill>
        <patternFill patternType="none">
          <fgColor indexed="64"/>
          <bgColor auto="1"/>
        </patternFill>
      </fill>
    </dxf>
    <dxf>
      <font>
        <strike val="0"/>
        <outline val="0"/>
        <shadow val="0"/>
        <u val="none"/>
        <vertAlign val="baseline"/>
        <color theme="1"/>
        <name val="Century Gothic"/>
        <family val="2"/>
        <scheme val="none"/>
      </font>
      <fill>
        <patternFill patternType="none">
          <fgColor indexed="64"/>
          <bgColor auto="1"/>
        </patternFill>
      </fill>
    </dxf>
    <dxf>
      <font>
        <strike val="0"/>
        <outline val="0"/>
        <shadow val="0"/>
        <u val="none"/>
        <vertAlign val="baseline"/>
        <color theme="1"/>
        <name val="Century Gothic"/>
        <family val="2"/>
        <scheme val="none"/>
      </font>
      <fill>
        <patternFill patternType="none">
          <fgColor indexed="64"/>
          <bgColor auto="1"/>
        </patternFill>
      </fill>
    </dxf>
    <dxf>
      <font>
        <strike val="0"/>
        <outline val="0"/>
        <shadow val="0"/>
        <u val="none"/>
        <vertAlign val="baseline"/>
        <color theme="1"/>
        <name val="Century Gothic"/>
        <family val="2"/>
        <scheme val="none"/>
      </font>
      <fill>
        <patternFill patternType="none">
          <fgColor indexed="64"/>
          <bgColor auto="1"/>
        </patternFill>
      </fill>
    </dxf>
    <dxf>
      <font>
        <strike val="0"/>
        <outline val="0"/>
        <shadow val="0"/>
        <u val="none"/>
        <vertAlign val="baseline"/>
        <color theme="1"/>
        <name val="Century Gothic"/>
        <family val="2"/>
        <scheme val="none"/>
      </font>
      <fill>
        <patternFill patternType="none">
          <fgColor indexed="64"/>
          <bgColor auto="1"/>
        </patternFill>
      </fill>
    </dxf>
    <dxf>
      <font>
        <strike val="0"/>
        <outline val="0"/>
        <shadow val="0"/>
        <u val="none"/>
        <vertAlign val="baseline"/>
        <color theme="1"/>
        <name val="Century Gothic"/>
        <family val="2"/>
        <scheme val="none"/>
      </font>
      <fill>
        <patternFill patternType="none">
          <fgColor indexed="64"/>
          <bgColor auto="1"/>
        </patternFill>
      </fill>
    </dxf>
    <dxf>
      <font>
        <strike val="0"/>
        <outline val="0"/>
        <shadow val="0"/>
        <u val="none"/>
        <vertAlign val="baseline"/>
        <color theme="1"/>
        <name val="Century Gothic"/>
        <family val="2"/>
        <scheme val="none"/>
      </font>
      <fill>
        <patternFill patternType="none">
          <fgColor indexed="64"/>
          <bgColor auto="1"/>
        </patternFill>
      </fill>
    </dxf>
    <dxf>
      <font>
        <strike val="0"/>
        <outline val="0"/>
        <shadow val="0"/>
        <u val="none"/>
        <vertAlign val="baseline"/>
        <sz val="14"/>
        <color theme="0"/>
        <name val="Century Gothic"/>
        <family val="2"/>
        <scheme val="none"/>
      </font>
      <fill>
        <patternFill patternType="solid">
          <fgColor indexed="64"/>
          <bgColor rgb="FF1755B9"/>
        </patternFill>
      </fill>
    </dxf>
    <dxf>
      <font>
        <color theme="0"/>
      </font>
      <fill>
        <patternFill>
          <bgColor theme="1" tint="0.14996795556505021"/>
        </patternFill>
      </fill>
      <border diagonalUp="1">
        <left style="thin">
          <color theme="1" tint="0.499984740745262"/>
        </left>
        <right style="thin">
          <color theme="1" tint="0.499984740745262"/>
        </right>
        <top style="thin">
          <color theme="1" tint="0.499984740745262"/>
        </top>
        <bottom style="thin">
          <color theme="1" tint="0.499984740745262"/>
        </bottom>
        <diagonal style="thin">
          <color theme="1" tint="0.499984740745262"/>
        </diagonal>
        <vertical style="thin">
          <color theme="1" tint="0.499984740745262"/>
        </vertical>
        <horizontal style="thin">
          <color theme="1" tint="0.499984740745262"/>
        </horizontal>
      </border>
    </dxf>
    <dxf>
      <font>
        <color theme="0"/>
      </font>
      <fill>
        <patternFill>
          <bgColor theme="1" tint="0.34998626667073579"/>
        </patternFill>
      </fill>
      <border>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font>
        <b/>
        <i val="0"/>
        <color theme="0"/>
      </font>
      <fill>
        <patternFill>
          <bgColor theme="1" tint="0.14996795556505021"/>
        </patternFill>
      </fill>
    </dxf>
  </dxfs>
  <tableStyles count="1" defaultTableStyle="Project Issue Tracker" defaultPivotStyle="PivotStyleDark1">
    <tableStyle name="Project Issue Tracker" pivot="0" count="3" xr9:uid="{00000000-0011-0000-FFFF-FFFF00000000}">
      <tableStyleElement type="headerRow" dxfId="13"/>
      <tableStyleElement type="firstRowStripe" dxfId="12"/>
      <tableStyleElement type="secondRowStripe" dxfId="11"/>
    </tableStyle>
  </tableStyles>
  <colors>
    <mruColors>
      <color rgb="FF1755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ssues" displayName="Issues" ref="B3:J93" totalsRowShown="0" headerRowDxfId="10" dataDxfId="9" headerRowCellStyle="Heading 2">
  <tableColumns count="9">
    <tableColumn id="10" xr3:uid="{00000000-0010-0000-0000-00000A000000}" name="#" dataDxfId="8" dataCellStyle="Normal"/>
    <tableColumn id="1" xr3:uid="{00000000-0010-0000-0000-000001000000}" name="ISSUE" dataDxfId="7" dataCellStyle="Normal"/>
    <tableColumn id="2" xr3:uid="{00000000-0010-0000-0000-000002000000}" name="TYPE" dataDxfId="6" dataCellStyle="Normal"/>
    <tableColumn id="3" xr3:uid="{00000000-0010-0000-0000-000003000000}" name="PRIORITY" dataDxfId="5" dataCellStyle="Normal"/>
    <tableColumn id="4" xr3:uid="{00000000-0010-0000-0000-000004000000}" name="OPENED ON" dataDxfId="4" dataCellStyle="Date"/>
    <tableColumn id="5" xr3:uid="{00000000-0010-0000-0000-000005000000}" name="OPENED BY" dataDxfId="3" dataCellStyle="Normal"/>
    <tableColumn id="7" xr3:uid="{00000000-0010-0000-0000-000007000000}" name="CLOSED ON" dataDxfId="2" dataCellStyle="Date"/>
    <tableColumn id="8" xr3:uid="{00000000-0010-0000-0000-000008000000}" name="CLOSED BY" dataDxfId="1" dataCellStyle="Normal"/>
    <tableColumn id="9" xr3:uid="{00000000-0010-0000-0000-000009000000}" name="NOTES" dataDxfId="0"/>
  </tableColumns>
  <tableStyleInfo name="Project Issue Tracker" showFirstColumn="0" showLastColumn="0" showRowStripes="1" showColumnStripes="0"/>
  <extLst>
    <ext xmlns:x14="http://schemas.microsoft.com/office/spreadsheetml/2009/9/main" uri="{504A1905-F514-4f6f-8877-14C23A59335A}">
      <x14:table altTextSummary="Enter issue Number, description, Type,Priority, Opening &amp; Closing Date, Opened By &amp; Closed By names, and Notes in this table"/>
    </ext>
  </extLst>
</table>
</file>

<file path=xl/theme/theme1.xml><?xml version="1.0" encoding="utf-8"?>
<a:theme xmlns:a="http://schemas.openxmlformats.org/drawingml/2006/main" name="Office Theme">
  <a:themeElements>
    <a:clrScheme name="Project Issue Tracker">
      <a:dk1>
        <a:sysClr val="windowText" lastClr="000000"/>
      </a:dk1>
      <a:lt1>
        <a:sysClr val="window" lastClr="FFFFFF"/>
      </a:lt1>
      <a:dk2>
        <a:srgbClr val="0D1C35"/>
      </a:dk2>
      <a:lt2>
        <a:srgbClr val="EBEAD4"/>
      </a:lt2>
      <a:accent1>
        <a:srgbClr val="5BD2D5"/>
      </a:accent1>
      <a:accent2>
        <a:srgbClr val="0096D1"/>
      </a:accent2>
      <a:accent3>
        <a:srgbClr val="FCB606"/>
      </a:accent3>
      <a:accent4>
        <a:srgbClr val="EF6237"/>
      </a:accent4>
      <a:accent5>
        <a:srgbClr val="93CE3E"/>
      </a:accent5>
      <a:accent6>
        <a:srgbClr val="7F52AA"/>
      </a:accent6>
      <a:hlink>
        <a:srgbClr val="5BD2D5"/>
      </a:hlink>
      <a:folHlink>
        <a:srgbClr val="7F52AA"/>
      </a:folHlink>
    </a:clrScheme>
    <a:fontScheme name="198">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pageSetUpPr fitToPage="1"/>
  </sheetPr>
  <dimension ref="B1:J93"/>
  <sheetViews>
    <sheetView showGridLines="0" tabSelected="1" zoomScale="87" zoomScaleNormal="87" workbookViewId="0">
      <selection activeCell="B1" sqref="B1:J1"/>
    </sheetView>
  </sheetViews>
  <sheetFormatPr defaultColWidth="8.75" defaultRowHeight="30" customHeight="1" x14ac:dyDescent="0.25"/>
  <cols>
    <col min="1" max="1" width="2.625" style="2" customWidth="1"/>
    <col min="2" max="2" width="6.25" style="2" customWidth="1"/>
    <col min="3" max="3" width="27.375" style="2" customWidth="1"/>
    <col min="4" max="5" width="18.125" style="2" customWidth="1"/>
    <col min="6" max="6" width="21.75" style="2" customWidth="1"/>
    <col min="7" max="7" width="20.5" style="2" customWidth="1"/>
    <col min="8" max="8" width="24.375" style="2" customWidth="1"/>
    <col min="9" max="9" width="18.125" style="2" customWidth="1"/>
    <col min="10" max="10" width="27.375" style="2" customWidth="1"/>
    <col min="11" max="16384" width="8.75" style="2"/>
  </cols>
  <sheetData>
    <row r="1" spans="2:10" ht="69.75" customHeight="1" x14ac:dyDescent="0.25">
      <c r="B1" s="8" t="s">
        <v>123</v>
      </c>
      <c r="C1" s="8"/>
      <c r="D1" s="8"/>
      <c r="E1" s="8"/>
      <c r="F1" s="8"/>
      <c r="G1" s="8"/>
      <c r="H1" s="8"/>
      <c r="I1" s="8"/>
      <c r="J1" s="8"/>
    </row>
    <row r="2" spans="2:10" ht="26.25" customHeight="1" x14ac:dyDescent="0.25">
      <c r="B2" s="3"/>
      <c r="C2" s="3"/>
      <c r="D2" s="3"/>
      <c r="E2" s="3"/>
      <c r="F2" s="3"/>
      <c r="G2" s="3"/>
      <c r="H2" s="3"/>
      <c r="I2" s="3"/>
      <c r="J2" s="3"/>
    </row>
    <row r="3" spans="2:10" ht="35.25" customHeight="1" x14ac:dyDescent="0.25">
      <c r="B3" s="5" t="s">
        <v>2</v>
      </c>
      <c r="C3" s="5" t="s">
        <v>115</v>
      </c>
      <c r="D3" s="5" t="s">
        <v>116</v>
      </c>
      <c r="E3" s="5" t="s">
        <v>117</v>
      </c>
      <c r="F3" s="6" t="s">
        <v>118</v>
      </c>
      <c r="G3" s="5" t="s">
        <v>119</v>
      </c>
      <c r="H3" s="7" t="s">
        <v>120</v>
      </c>
      <c r="I3" s="5" t="s">
        <v>121</v>
      </c>
      <c r="J3" s="5" t="s">
        <v>122</v>
      </c>
    </row>
    <row r="4" spans="2:10" ht="30" customHeight="1" x14ac:dyDescent="0.25">
      <c r="B4" s="2">
        <v>1</v>
      </c>
      <c r="C4" s="2" t="s">
        <v>3</v>
      </c>
      <c r="D4" s="2" t="s">
        <v>105</v>
      </c>
      <c r="E4" s="2" t="s">
        <v>106</v>
      </c>
      <c r="F4" s="4">
        <f ca="1">DATE(YEAR(TODAY()),2,1)</f>
        <v>44958</v>
      </c>
      <c r="G4" s="2" t="s">
        <v>107</v>
      </c>
      <c r="H4" s="4">
        <f ca="1">DATE(YEAR(TODAY()),2,4)</f>
        <v>44961</v>
      </c>
      <c r="I4" s="2" t="s">
        <v>107</v>
      </c>
    </row>
    <row r="5" spans="2:10" ht="30" customHeight="1" x14ac:dyDescent="0.25">
      <c r="B5" s="2">
        <v>2</v>
      </c>
      <c r="C5" s="2" t="s">
        <v>4</v>
      </c>
      <c r="D5" s="2" t="s">
        <v>105</v>
      </c>
      <c r="E5" s="2" t="s">
        <v>108</v>
      </c>
      <c r="F5" s="4">
        <f ca="1">DATE(YEAR(TODAY()),2,1)</f>
        <v>44958</v>
      </c>
      <c r="G5" s="2" t="s">
        <v>109</v>
      </c>
      <c r="H5" s="4">
        <f ca="1">DATE(YEAR(TODAY()),2,1)</f>
        <v>44958</v>
      </c>
      <c r="I5" s="2" t="s">
        <v>107</v>
      </c>
    </row>
    <row r="6" spans="2:10" ht="30" customHeight="1" x14ac:dyDescent="0.25">
      <c r="B6" s="2">
        <v>3</v>
      </c>
      <c r="C6" s="2" t="s">
        <v>5</v>
      </c>
      <c r="D6" s="2" t="s">
        <v>110</v>
      </c>
      <c r="E6" s="2" t="s">
        <v>108</v>
      </c>
      <c r="F6" s="4">
        <f ca="1">DATE(YEAR(TODAY()),2,4)</f>
        <v>44961</v>
      </c>
      <c r="G6" s="2" t="s">
        <v>111</v>
      </c>
      <c r="H6" s="4">
        <f ca="1">DATE(YEAR(TODAY()),2,4)</f>
        <v>44961</v>
      </c>
      <c r="I6" s="2" t="s">
        <v>111</v>
      </c>
    </row>
    <row r="7" spans="2:10" ht="30" customHeight="1" x14ac:dyDescent="0.25">
      <c r="B7" s="2">
        <v>4</v>
      </c>
      <c r="C7" s="2" t="s">
        <v>6</v>
      </c>
      <c r="D7" s="2" t="s">
        <v>103</v>
      </c>
      <c r="E7" s="2" t="s">
        <v>106</v>
      </c>
      <c r="F7" s="4">
        <f t="shared" ref="F7:F8" ca="1" si="0">DATE(YEAR(TODAY()),2,4)</f>
        <v>44961</v>
      </c>
      <c r="G7" s="2" t="s">
        <v>111</v>
      </c>
      <c r="H7" s="4">
        <f ca="1">DATE(YEAR(TODAY()),2,5)</f>
        <v>44962</v>
      </c>
      <c r="I7" s="2" t="s">
        <v>111</v>
      </c>
    </row>
    <row r="8" spans="2:10" ht="30" customHeight="1" x14ac:dyDescent="0.25">
      <c r="B8" s="2">
        <v>5</v>
      </c>
      <c r="C8" s="2" t="s">
        <v>7</v>
      </c>
      <c r="D8" s="2" t="s">
        <v>103</v>
      </c>
      <c r="E8" s="2" t="s">
        <v>106</v>
      </c>
      <c r="F8" s="4">
        <f t="shared" ca="1" si="0"/>
        <v>44961</v>
      </c>
      <c r="G8" s="2" t="s">
        <v>107</v>
      </c>
      <c r="H8" s="4">
        <f ca="1">DATE(YEAR(TODAY()),2,4)</f>
        <v>44961</v>
      </c>
      <c r="I8" s="2" t="s">
        <v>112</v>
      </c>
    </row>
    <row r="9" spans="2:10" ht="30" customHeight="1" x14ac:dyDescent="0.25">
      <c r="B9" s="2">
        <v>6</v>
      </c>
      <c r="C9" s="2" t="s">
        <v>8</v>
      </c>
      <c r="D9" s="2" t="s">
        <v>103</v>
      </c>
      <c r="E9" s="2" t="s">
        <v>108</v>
      </c>
      <c r="F9" s="4">
        <f ca="1">DATE(YEAR(TODAY()),2,8)</f>
        <v>44965</v>
      </c>
      <c r="G9" s="2" t="s">
        <v>112</v>
      </c>
      <c r="H9" s="4">
        <f ca="1">DATE(YEAR(TODAY()),2,8)</f>
        <v>44965</v>
      </c>
      <c r="I9" s="2" t="s">
        <v>107</v>
      </c>
    </row>
    <row r="10" spans="2:10" ht="30" customHeight="1" x14ac:dyDescent="0.25">
      <c r="B10" s="2">
        <v>7</v>
      </c>
      <c r="C10" s="2" t="s">
        <v>9</v>
      </c>
      <c r="D10" s="2" t="s">
        <v>103</v>
      </c>
      <c r="E10" s="2" t="s">
        <v>104</v>
      </c>
      <c r="F10" s="4">
        <f t="shared" ref="F10:F12" ca="1" si="1">DATE(YEAR(TODAY()),2,8)</f>
        <v>44965</v>
      </c>
      <c r="G10" s="2" t="s">
        <v>109</v>
      </c>
      <c r="H10" s="4">
        <f ca="1">DATE(YEAR(TODAY()),2,13)</f>
        <v>44970</v>
      </c>
      <c r="I10" s="2" t="s">
        <v>107</v>
      </c>
    </row>
    <row r="11" spans="2:10" ht="30" customHeight="1" x14ac:dyDescent="0.25">
      <c r="B11" s="2">
        <v>8</v>
      </c>
      <c r="C11" s="2" t="s">
        <v>10</v>
      </c>
      <c r="D11" s="2" t="s">
        <v>105</v>
      </c>
      <c r="E11" s="2" t="s">
        <v>106</v>
      </c>
      <c r="F11" s="4">
        <f t="shared" ca="1" si="1"/>
        <v>44965</v>
      </c>
      <c r="G11" s="2" t="s">
        <v>109</v>
      </c>
      <c r="H11" s="4">
        <f ca="1">DATE(YEAR(TODAY()),2,11)</f>
        <v>44968</v>
      </c>
      <c r="I11" s="2" t="s">
        <v>107</v>
      </c>
    </row>
    <row r="12" spans="2:10" ht="30" customHeight="1" x14ac:dyDescent="0.25">
      <c r="B12" s="2">
        <v>9</v>
      </c>
      <c r="C12" s="2" t="s">
        <v>11</v>
      </c>
      <c r="D12" s="2" t="s">
        <v>110</v>
      </c>
      <c r="E12" s="2" t="s">
        <v>106</v>
      </c>
      <c r="F12" s="4">
        <f t="shared" ca="1" si="1"/>
        <v>44965</v>
      </c>
      <c r="G12" s="2" t="s">
        <v>109</v>
      </c>
      <c r="H12" s="4">
        <f ca="1">DATE(YEAR(TODAY()),2,11)</f>
        <v>44968</v>
      </c>
      <c r="I12" s="2" t="s">
        <v>109</v>
      </c>
    </row>
    <row r="13" spans="2:10" ht="30" customHeight="1" x14ac:dyDescent="0.25">
      <c r="B13" s="2">
        <v>10</v>
      </c>
      <c r="C13" s="2" t="s">
        <v>12</v>
      </c>
      <c r="D13" s="2" t="s">
        <v>113</v>
      </c>
      <c r="E13" s="2" t="s">
        <v>104</v>
      </c>
      <c r="F13" s="4">
        <f ca="1">DATE(YEAR(TODAY()),2,12)</f>
        <v>44969</v>
      </c>
      <c r="G13" s="2" t="s">
        <v>112</v>
      </c>
      <c r="H13" s="4">
        <f ca="1">DATE(YEAR(TODAY()),2,12)</f>
        <v>44969</v>
      </c>
      <c r="I13" s="2" t="s">
        <v>111</v>
      </c>
    </row>
    <row r="14" spans="2:10" ht="30" customHeight="1" x14ac:dyDescent="0.25">
      <c r="B14" s="2">
        <v>11</v>
      </c>
      <c r="C14" s="2" t="s">
        <v>13</v>
      </c>
      <c r="D14" s="2" t="s">
        <v>105</v>
      </c>
      <c r="E14" s="2" t="s">
        <v>106</v>
      </c>
      <c r="F14" s="4">
        <f ca="1">DATE(YEAR(TODAY()),2,12)</f>
        <v>44969</v>
      </c>
      <c r="G14" s="2" t="s">
        <v>109</v>
      </c>
      <c r="H14" s="4">
        <f ca="1">DATE(YEAR(TODAY()),2,13)</f>
        <v>44970</v>
      </c>
      <c r="I14" s="2" t="s">
        <v>111</v>
      </c>
    </row>
    <row r="15" spans="2:10" ht="30" customHeight="1" x14ac:dyDescent="0.25">
      <c r="B15" s="2">
        <v>12</v>
      </c>
      <c r="C15" s="2" t="s">
        <v>14</v>
      </c>
      <c r="D15" s="2" t="s">
        <v>103</v>
      </c>
      <c r="E15" s="2" t="s">
        <v>104</v>
      </c>
      <c r="F15" s="4">
        <f ca="1">DATE(YEAR(TODAY()),2,15)</f>
        <v>44972</v>
      </c>
      <c r="G15" s="2" t="s">
        <v>112</v>
      </c>
      <c r="H15" s="4">
        <f ca="1">DATE(YEAR(TODAY()),2,18)</f>
        <v>44975</v>
      </c>
      <c r="I15" s="2" t="s">
        <v>107</v>
      </c>
    </row>
    <row r="16" spans="2:10" ht="30" customHeight="1" x14ac:dyDescent="0.25">
      <c r="B16" s="2">
        <v>13</v>
      </c>
      <c r="C16" s="2" t="s">
        <v>15</v>
      </c>
      <c r="D16" s="2" t="s">
        <v>105</v>
      </c>
      <c r="E16" s="2" t="s">
        <v>104</v>
      </c>
      <c r="F16" s="4">
        <f ca="1">DATE(YEAR(TODAY()),2,20)</f>
        <v>44977</v>
      </c>
      <c r="G16" s="2" t="s">
        <v>109</v>
      </c>
      <c r="H16" s="4">
        <f ca="1">DATE(YEAR(TODAY()),2,20)</f>
        <v>44977</v>
      </c>
      <c r="I16" s="2" t="s">
        <v>109</v>
      </c>
    </row>
    <row r="17" spans="2:9" ht="30" customHeight="1" x14ac:dyDescent="0.25">
      <c r="B17" s="2">
        <v>14</v>
      </c>
      <c r="C17" s="2" t="s">
        <v>16</v>
      </c>
      <c r="D17" s="2" t="s">
        <v>105</v>
      </c>
      <c r="E17" s="2" t="s">
        <v>104</v>
      </c>
      <c r="F17" s="4">
        <f ca="1">DATE(YEAR(TODAY()),2,23)</f>
        <v>44980</v>
      </c>
      <c r="G17" s="2" t="s">
        <v>112</v>
      </c>
      <c r="H17" s="4">
        <f ca="1">DATE(YEAR(TODAY()),2,23)</f>
        <v>44980</v>
      </c>
      <c r="I17" s="2" t="s">
        <v>107</v>
      </c>
    </row>
    <row r="18" spans="2:9" ht="30" customHeight="1" x14ac:dyDescent="0.25">
      <c r="B18" s="2">
        <v>15</v>
      </c>
      <c r="C18" s="2" t="s">
        <v>17</v>
      </c>
      <c r="D18" s="2" t="s">
        <v>105</v>
      </c>
      <c r="E18" s="2" t="s">
        <v>108</v>
      </c>
      <c r="F18" s="4">
        <f ca="1">DATE(YEAR(TODAY()),2,26)</f>
        <v>44983</v>
      </c>
      <c r="G18" s="2" t="s">
        <v>107</v>
      </c>
      <c r="H18" s="4">
        <f ca="1">DATE(YEAR(TODAY()),2,27)</f>
        <v>44984</v>
      </c>
      <c r="I18" s="2" t="s">
        <v>111</v>
      </c>
    </row>
    <row r="19" spans="2:9" ht="30" customHeight="1" x14ac:dyDescent="0.25">
      <c r="B19" s="2">
        <v>16</v>
      </c>
      <c r="C19" s="2" t="s">
        <v>18</v>
      </c>
      <c r="D19" s="2" t="s">
        <v>113</v>
      </c>
      <c r="E19" s="2" t="s">
        <v>106</v>
      </c>
      <c r="F19" s="4">
        <f t="shared" ref="F19:F20" ca="1" si="2">DATE(YEAR(TODAY()),2,26)</f>
        <v>44983</v>
      </c>
      <c r="G19" s="2" t="s">
        <v>111</v>
      </c>
      <c r="H19" s="4">
        <f ca="1">DATE(YEAR(TODAY()),2,26)</f>
        <v>44983</v>
      </c>
      <c r="I19" s="2" t="s">
        <v>107</v>
      </c>
    </row>
    <row r="20" spans="2:9" ht="30" customHeight="1" x14ac:dyDescent="0.25">
      <c r="B20" s="2">
        <v>17</v>
      </c>
      <c r="C20" s="2" t="s">
        <v>19</v>
      </c>
      <c r="D20" s="2" t="s">
        <v>105</v>
      </c>
      <c r="E20" s="2" t="s">
        <v>108</v>
      </c>
      <c r="F20" s="4">
        <f t="shared" ca="1" si="2"/>
        <v>44983</v>
      </c>
      <c r="G20" s="2" t="s">
        <v>112</v>
      </c>
      <c r="H20" s="4">
        <f ca="1">DATE(YEAR(TODAY()),2,26)</f>
        <v>44983</v>
      </c>
      <c r="I20" s="2" t="s">
        <v>112</v>
      </c>
    </row>
    <row r="21" spans="2:9" ht="30" customHeight="1" x14ac:dyDescent="0.25">
      <c r="B21" s="2">
        <v>18</v>
      </c>
      <c r="C21" s="2" t="s">
        <v>20</v>
      </c>
      <c r="D21" s="2" t="s">
        <v>110</v>
      </c>
      <c r="E21" s="2" t="s">
        <v>104</v>
      </c>
      <c r="F21" s="4">
        <f ca="1">DATE(YEAR(TODAY()),2,27)</f>
        <v>44984</v>
      </c>
      <c r="G21" s="2" t="s">
        <v>111</v>
      </c>
      <c r="H21" s="4">
        <f ca="1">DATE(YEAR(TODAY()),2,27)</f>
        <v>44984</v>
      </c>
      <c r="I21" s="2" t="s">
        <v>111</v>
      </c>
    </row>
    <row r="22" spans="2:9" ht="30" customHeight="1" x14ac:dyDescent="0.25">
      <c r="B22" s="2">
        <v>19</v>
      </c>
      <c r="C22" s="2" t="s">
        <v>21</v>
      </c>
      <c r="D22" s="2" t="s">
        <v>105</v>
      </c>
      <c r="E22" s="2" t="s">
        <v>108</v>
      </c>
      <c r="F22" s="4">
        <f ca="1">DATE(YEAR(TODAY()),2,27)</f>
        <v>44984</v>
      </c>
      <c r="G22" s="2" t="s">
        <v>112</v>
      </c>
      <c r="H22" s="4">
        <f ca="1">DATE(YEAR(TODAY()),2,27)</f>
        <v>44984</v>
      </c>
      <c r="I22" s="2" t="s">
        <v>111</v>
      </c>
    </row>
    <row r="23" spans="2:9" ht="30" customHeight="1" x14ac:dyDescent="0.25">
      <c r="B23" s="2">
        <v>20</v>
      </c>
      <c r="C23" s="2" t="s">
        <v>22</v>
      </c>
      <c r="D23" s="2" t="s">
        <v>110</v>
      </c>
      <c r="E23" s="2" t="s">
        <v>108</v>
      </c>
      <c r="F23" s="4">
        <f ca="1">DATE(YEAR(TODAY()),3,4)</f>
        <v>44989</v>
      </c>
      <c r="G23" s="2" t="s">
        <v>111</v>
      </c>
      <c r="H23" s="4">
        <f ca="1">DATE(YEAR(TODAY()),3,4)</f>
        <v>44989</v>
      </c>
      <c r="I23" s="2" t="s">
        <v>112</v>
      </c>
    </row>
    <row r="24" spans="2:9" ht="30" customHeight="1" x14ac:dyDescent="0.25">
      <c r="B24" s="2">
        <v>21</v>
      </c>
      <c r="C24" s="2" t="s">
        <v>23</v>
      </c>
      <c r="D24" s="2" t="s">
        <v>113</v>
      </c>
      <c r="E24" s="2" t="s">
        <v>108</v>
      </c>
      <c r="F24" s="4">
        <f t="shared" ref="F24:F25" ca="1" si="3">DATE(YEAR(TODAY()),3,4)</f>
        <v>44989</v>
      </c>
      <c r="G24" s="2" t="s">
        <v>111</v>
      </c>
      <c r="H24" s="4">
        <f ca="1">DATE(YEAR(TODAY()),3,7)</f>
        <v>44992</v>
      </c>
      <c r="I24" s="2" t="s">
        <v>109</v>
      </c>
    </row>
    <row r="25" spans="2:9" ht="30" customHeight="1" x14ac:dyDescent="0.25">
      <c r="B25" s="2">
        <v>22</v>
      </c>
      <c r="C25" s="2" t="s">
        <v>24</v>
      </c>
      <c r="D25" s="2" t="s">
        <v>110</v>
      </c>
      <c r="E25" s="2" t="s">
        <v>108</v>
      </c>
      <c r="F25" s="4">
        <f t="shared" ca="1" si="3"/>
        <v>44989</v>
      </c>
      <c r="G25" s="2" t="s">
        <v>112</v>
      </c>
      <c r="H25" s="4">
        <f ca="1">DATE(YEAR(TODAY()),3,9)</f>
        <v>44994</v>
      </c>
      <c r="I25" s="2" t="s">
        <v>109</v>
      </c>
    </row>
    <row r="26" spans="2:9" ht="30" customHeight="1" x14ac:dyDescent="0.25">
      <c r="B26" s="2">
        <v>23</v>
      </c>
      <c r="C26" s="2" t="s">
        <v>25</v>
      </c>
      <c r="D26" s="2" t="s">
        <v>110</v>
      </c>
      <c r="E26" s="2" t="s">
        <v>106</v>
      </c>
      <c r="F26" s="4">
        <f ca="1">DATE(YEAR(TODAY()),3,5)</f>
        <v>44990</v>
      </c>
      <c r="G26" s="2" t="s">
        <v>109</v>
      </c>
      <c r="H26" s="4">
        <f ca="1">DATE(YEAR(TODAY()),3,5)</f>
        <v>44990</v>
      </c>
      <c r="I26" s="2" t="s">
        <v>107</v>
      </c>
    </row>
    <row r="27" spans="2:9" ht="30" customHeight="1" x14ac:dyDescent="0.25">
      <c r="B27" s="2">
        <v>24</v>
      </c>
      <c r="C27" s="2" t="s">
        <v>26</v>
      </c>
      <c r="D27" s="2" t="s">
        <v>110</v>
      </c>
      <c r="E27" s="2" t="s">
        <v>106</v>
      </c>
      <c r="F27" s="4">
        <f ca="1">DATE(YEAR(TODAY()),3,5)</f>
        <v>44990</v>
      </c>
      <c r="G27" s="2" t="s">
        <v>111</v>
      </c>
      <c r="H27" s="4">
        <f ca="1">DATE(YEAR(TODAY()),3,5)</f>
        <v>44990</v>
      </c>
      <c r="I27" s="2" t="s">
        <v>107</v>
      </c>
    </row>
    <row r="28" spans="2:9" ht="30" customHeight="1" x14ac:dyDescent="0.25">
      <c r="B28" s="2">
        <v>25</v>
      </c>
      <c r="C28" s="2" t="s">
        <v>27</v>
      </c>
      <c r="D28" s="2" t="s">
        <v>103</v>
      </c>
      <c r="E28" s="2" t="s">
        <v>104</v>
      </c>
      <c r="F28" s="4">
        <f ca="1">DATE(YEAR(TODAY()),3,6)</f>
        <v>44991</v>
      </c>
      <c r="G28" s="2" t="s">
        <v>109</v>
      </c>
      <c r="H28" s="4">
        <f ca="1">DATE(YEAR(TODAY()),3,10)</f>
        <v>44995</v>
      </c>
      <c r="I28" s="2" t="s">
        <v>112</v>
      </c>
    </row>
    <row r="29" spans="2:9" ht="30" customHeight="1" x14ac:dyDescent="0.25">
      <c r="B29" s="2">
        <v>26</v>
      </c>
      <c r="C29" s="2" t="s">
        <v>28</v>
      </c>
      <c r="D29" s="2" t="s">
        <v>103</v>
      </c>
      <c r="E29" s="2" t="s">
        <v>104</v>
      </c>
      <c r="F29" s="4">
        <f t="shared" ref="F29:F30" ca="1" si="4">DATE(YEAR(TODAY()),3,6)</f>
        <v>44991</v>
      </c>
      <c r="G29" s="2" t="s">
        <v>109</v>
      </c>
      <c r="H29" s="4">
        <f ca="1">DATE(YEAR(TODAY()),3,8)</f>
        <v>44993</v>
      </c>
      <c r="I29" s="2" t="s">
        <v>109</v>
      </c>
    </row>
    <row r="30" spans="2:9" ht="30" customHeight="1" x14ac:dyDescent="0.25">
      <c r="B30" s="2">
        <v>27</v>
      </c>
      <c r="C30" s="2" t="s">
        <v>29</v>
      </c>
      <c r="D30" s="2" t="s">
        <v>103</v>
      </c>
      <c r="E30" s="2" t="s">
        <v>104</v>
      </c>
      <c r="F30" s="4">
        <f t="shared" ca="1" si="4"/>
        <v>44991</v>
      </c>
      <c r="G30" s="2" t="s">
        <v>107</v>
      </c>
      <c r="H30" s="4">
        <f ca="1">DATE(YEAR(TODAY()),3,8)</f>
        <v>44993</v>
      </c>
      <c r="I30" s="2" t="s">
        <v>112</v>
      </c>
    </row>
    <row r="31" spans="2:9" ht="30" customHeight="1" x14ac:dyDescent="0.25">
      <c r="B31" s="2">
        <v>28</v>
      </c>
      <c r="C31" s="2" t="s">
        <v>30</v>
      </c>
      <c r="D31" s="2" t="s">
        <v>113</v>
      </c>
      <c r="E31" s="2" t="s">
        <v>108</v>
      </c>
      <c r="F31" s="4">
        <f ca="1">DATE(YEAR(TODAY()),3,11)</f>
        <v>44996</v>
      </c>
      <c r="G31" s="2" t="s">
        <v>112</v>
      </c>
      <c r="H31" s="4">
        <f ca="1">DATE(YEAR(TODAY()),3,12)</f>
        <v>44997</v>
      </c>
      <c r="I31" s="2" t="s">
        <v>107</v>
      </c>
    </row>
    <row r="32" spans="2:9" ht="30" customHeight="1" x14ac:dyDescent="0.25">
      <c r="B32" s="2">
        <v>29</v>
      </c>
      <c r="C32" s="2" t="s">
        <v>31</v>
      </c>
      <c r="D32" s="2" t="s">
        <v>110</v>
      </c>
      <c r="E32" s="2" t="s">
        <v>108</v>
      </c>
      <c r="F32" s="4">
        <f ca="1">DATE(YEAR(TODAY()),3,12)</f>
        <v>44997</v>
      </c>
      <c r="G32" s="2" t="s">
        <v>109</v>
      </c>
      <c r="H32" s="4">
        <f ca="1">DATE(YEAR(TODAY()),3,13)</f>
        <v>44998</v>
      </c>
      <c r="I32" s="2" t="s">
        <v>109</v>
      </c>
    </row>
    <row r="33" spans="2:9" ht="30" customHeight="1" x14ac:dyDescent="0.25">
      <c r="B33" s="2">
        <v>30</v>
      </c>
      <c r="C33" s="2" t="s">
        <v>32</v>
      </c>
      <c r="D33" s="2" t="s">
        <v>105</v>
      </c>
      <c r="E33" s="2" t="s">
        <v>106</v>
      </c>
      <c r="F33" s="4">
        <f ca="1">DATE(YEAR(TODAY()),3,12)</f>
        <v>44997</v>
      </c>
      <c r="G33" s="2" t="s">
        <v>111</v>
      </c>
      <c r="H33" s="4">
        <f ca="1">DATE(YEAR(TODAY()),3,13)</f>
        <v>44998</v>
      </c>
      <c r="I33" s="2" t="s">
        <v>109</v>
      </c>
    </row>
    <row r="34" spans="2:9" ht="30" customHeight="1" x14ac:dyDescent="0.25">
      <c r="B34" s="2">
        <v>31</v>
      </c>
      <c r="C34" s="2" t="s">
        <v>33</v>
      </c>
      <c r="D34" s="2" t="s">
        <v>113</v>
      </c>
      <c r="E34" s="2" t="s">
        <v>106</v>
      </c>
      <c r="F34" s="4">
        <f ca="1">DATE(YEAR(TODAY()),3,17)</f>
        <v>45002</v>
      </c>
      <c r="G34" s="2" t="s">
        <v>111</v>
      </c>
      <c r="H34" s="4">
        <f ca="1">DATE(YEAR(TODAY()),3,19)</f>
        <v>45004</v>
      </c>
      <c r="I34" s="2" t="s">
        <v>107</v>
      </c>
    </row>
    <row r="35" spans="2:9" ht="30" customHeight="1" x14ac:dyDescent="0.25">
      <c r="B35" s="2">
        <v>32</v>
      </c>
      <c r="C35" s="2" t="s">
        <v>34</v>
      </c>
      <c r="D35" s="2" t="s">
        <v>113</v>
      </c>
      <c r="E35" s="2" t="s">
        <v>108</v>
      </c>
      <c r="F35" s="4">
        <f ca="1">DATE(YEAR(TODAY()),3,21)</f>
        <v>45006</v>
      </c>
      <c r="G35" s="2" t="s">
        <v>112</v>
      </c>
      <c r="H35" s="4">
        <f ca="1">DATE(YEAR(TODAY()),3,26)</f>
        <v>45011</v>
      </c>
      <c r="I35" s="2" t="s">
        <v>107</v>
      </c>
    </row>
    <row r="36" spans="2:9" ht="30" customHeight="1" x14ac:dyDescent="0.25">
      <c r="B36" s="2">
        <v>33</v>
      </c>
      <c r="C36" s="2" t="s">
        <v>35</v>
      </c>
      <c r="D36" s="2" t="s">
        <v>113</v>
      </c>
      <c r="E36" s="2" t="s">
        <v>108</v>
      </c>
      <c r="F36" s="4">
        <f ca="1">DATE(YEAR(TODAY()),3,25)</f>
        <v>45010</v>
      </c>
      <c r="G36" s="2" t="s">
        <v>107</v>
      </c>
      <c r="H36" s="4">
        <f t="shared" ref="H36" ca="1" si="5">DATE(YEAR(TODAY()),3,26)</f>
        <v>45011</v>
      </c>
      <c r="I36" s="2" t="s">
        <v>111</v>
      </c>
    </row>
    <row r="37" spans="2:9" ht="30" customHeight="1" x14ac:dyDescent="0.25">
      <c r="B37" s="2">
        <v>34</v>
      </c>
      <c r="C37" s="2" t="s">
        <v>36</v>
      </c>
      <c r="D37" s="2" t="s">
        <v>110</v>
      </c>
      <c r="E37" s="2" t="s">
        <v>108</v>
      </c>
      <c r="F37" s="4">
        <f ca="1">DATE(YEAR(TODAY()),3,25)</f>
        <v>45010</v>
      </c>
      <c r="G37" s="2" t="s">
        <v>109</v>
      </c>
      <c r="H37" s="4">
        <f ca="1">DATE(YEAR(TODAY()),3,30)</f>
        <v>45015</v>
      </c>
      <c r="I37" s="2" t="s">
        <v>111</v>
      </c>
    </row>
    <row r="38" spans="2:9" ht="30" customHeight="1" x14ac:dyDescent="0.25">
      <c r="B38" s="2">
        <v>35</v>
      </c>
      <c r="C38" s="2" t="s">
        <v>37</v>
      </c>
      <c r="D38" s="2" t="s">
        <v>103</v>
      </c>
      <c r="E38" s="2" t="s">
        <v>108</v>
      </c>
      <c r="F38" s="4">
        <f ca="1">DATE(YEAR(TODAY()),3,29)</f>
        <v>45014</v>
      </c>
      <c r="G38" s="2" t="s">
        <v>107</v>
      </c>
      <c r="H38" s="4">
        <f ca="1">DATE(YEAR(TODAY()),3,29)</f>
        <v>45014</v>
      </c>
      <c r="I38" s="2" t="s">
        <v>109</v>
      </c>
    </row>
    <row r="39" spans="2:9" ht="30" customHeight="1" x14ac:dyDescent="0.25">
      <c r="B39" s="2">
        <v>36</v>
      </c>
      <c r="C39" s="2" t="s">
        <v>38</v>
      </c>
      <c r="D39" s="2" t="s">
        <v>113</v>
      </c>
      <c r="E39" s="2" t="s">
        <v>106</v>
      </c>
      <c r="F39" s="4">
        <f ca="1">DATE(YEAR(TODAY()),3,31)</f>
        <v>45016</v>
      </c>
      <c r="G39" s="2" t="s">
        <v>112</v>
      </c>
      <c r="H39" s="4">
        <f ca="1">DATE(YEAR(TODAY()),4,4)</f>
        <v>45020</v>
      </c>
      <c r="I39" s="2" t="s">
        <v>111</v>
      </c>
    </row>
    <row r="40" spans="2:9" ht="30" customHeight="1" x14ac:dyDescent="0.25">
      <c r="B40" s="2">
        <v>37</v>
      </c>
      <c r="C40" s="2" t="s">
        <v>39</v>
      </c>
      <c r="D40" s="2" t="s">
        <v>113</v>
      </c>
      <c r="E40" s="2" t="s">
        <v>106</v>
      </c>
      <c r="F40" s="4">
        <f ca="1">DATE(YEAR(TODAY()),4,5)</f>
        <v>45021</v>
      </c>
      <c r="G40" s="2" t="s">
        <v>107</v>
      </c>
      <c r="H40" s="4">
        <f ca="1">DATE(YEAR(TODAY()),4,6)</f>
        <v>45022</v>
      </c>
      <c r="I40" s="2" t="s">
        <v>111</v>
      </c>
    </row>
    <row r="41" spans="2:9" ht="30" customHeight="1" x14ac:dyDescent="0.25">
      <c r="B41" s="2">
        <v>38</v>
      </c>
      <c r="C41" s="2" t="s">
        <v>40</v>
      </c>
      <c r="D41" s="2" t="s">
        <v>105</v>
      </c>
      <c r="E41" s="2" t="s">
        <v>104</v>
      </c>
      <c r="F41" s="4">
        <f ca="1">DATE(YEAR(TODAY()),4,9)</f>
        <v>45025</v>
      </c>
      <c r="G41" s="2" t="s">
        <v>111</v>
      </c>
      <c r="H41" s="4">
        <f ca="1">DATE(YEAR(TODAY()),4,14)</f>
        <v>45030</v>
      </c>
      <c r="I41" s="2" t="s">
        <v>107</v>
      </c>
    </row>
    <row r="42" spans="2:9" ht="30" customHeight="1" x14ac:dyDescent="0.25">
      <c r="B42" s="2">
        <v>39</v>
      </c>
      <c r="C42" s="2" t="s">
        <v>41</v>
      </c>
      <c r="D42" s="2" t="s">
        <v>113</v>
      </c>
      <c r="E42" s="2" t="s">
        <v>108</v>
      </c>
      <c r="F42" s="4">
        <f ca="1">DATE(YEAR(TODAY()),4,10)</f>
        <v>45026</v>
      </c>
      <c r="G42" s="2" t="s">
        <v>111</v>
      </c>
      <c r="H42" s="4">
        <f ca="1">DATE(YEAR(TODAY()),4,12)</f>
        <v>45028</v>
      </c>
      <c r="I42" s="2" t="s">
        <v>112</v>
      </c>
    </row>
    <row r="43" spans="2:9" ht="30" customHeight="1" x14ac:dyDescent="0.25">
      <c r="B43" s="2">
        <v>40</v>
      </c>
      <c r="C43" s="2" t="s">
        <v>42</v>
      </c>
      <c r="D43" s="2" t="s">
        <v>110</v>
      </c>
      <c r="E43" s="2" t="s">
        <v>108</v>
      </c>
      <c r="F43" s="4">
        <f t="shared" ref="F43" ca="1" si="6">DATE(YEAR(TODAY()),4,10)</f>
        <v>45026</v>
      </c>
      <c r="G43" s="2" t="s">
        <v>112</v>
      </c>
      <c r="H43" s="4">
        <f ca="1">DATE(YEAR(TODAY()),4,13)</f>
        <v>45029</v>
      </c>
      <c r="I43" s="2" t="s">
        <v>111</v>
      </c>
    </row>
    <row r="44" spans="2:9" ht="30" customHeight="1" x14ac:dyDescent="0.25">
      <c r="B44" s="2">
        <v>41</v>
      </c>
      <c r="C44" s="2" t="s">
        <v>43</v>
      </c>
      <c r="D44" s="2" t="s">
        <v>113</v>
      </c>
      <c r="E44" s="2" t="s">
        <v>108</v>
      </c>
      <c r="F44" s="4">
        <f ca="1">DATE(YEAR(TODAY()),4,12)</f>
        <v>45028</v>
      </c>
      <c r="G44" s="2" t="s">
        <v>107</v>
      </c>
      <c r="H44" s="4">
        <f t="shared" ref="H44" ca="1" si="7">DATE(YEAR(TODAY()),4,13)</f>
        <v>45029</v>
      </c>
      <c r="I44" s="2" t="s">
        <v>107</v>
      </c>
    </row>
    <row r="45" spans="2:9" ht="30" customHeight="1" x14ac:dyDescent="0.25">
      <c r="B45" s="2">
        <v>42</v>
      </c>
      <c r="C45" s="2" t="s">
        <v>44</v>
      </c>
      <c r="D45" s="2" t="s">
        <v>103</v>
      </c>
      <c r="E45" s="2" t="s">
        <v>106</v>
      </c>
      <c r="F45" s="4">
        <f ca="1">DATE(YEAR(TODAY()),4,16)</f>
        <v>45032</v>
      </c>
      <c r="G45" s="2" t="s">
        <v>109</v>
      </c>
      <c r="H45" s="4">
        <f ca="1">DATE(YEAR(TODAY()),4,16)</f>
        <v>45032</v>
      </c>
      <c r="I45" s="2" t="s">
        <v>112</v>
      </c>
    </row>
    <row r="46" spans="2:9" ht="30" customHeight="1" x14ac:dyDescent="0.25">
      <c r="B46" s="2">
        <v>43</v>
      </c>
      <c r="C46" s="2" t="s">
        <v>52</v>
      </c>
      <c r="D46" s="2" t="s">
        <v>105</v>
      </c>
      <c r="E46" s="2" t="s">
        <v>106</v>
      </c>
      <c r="F46" s="4">
        <f ca="1">DATE(YEAR(TODAY()),4,18)</f>
        <v>45034</v>
      </c>
      <c r="G46" s="2" t="s">
        <v>111</v>
      </c>
      <c r="H46" s="4">
        <f ca="1">DATE(YEAR(TODAY()),4,18)</f>
        <v>45034</v>
      </c>
      <c r="I46" s="2" t="s">
        <v>109</v>
      </c>
    </row>
    <row r="47" spans="2:9" ht="30" customHeight="1" x14ac:dyDescent="0.25">
      <c r="B47" s="2">
        <v>44</v>
      </c>
      <c r="C47" s="2" t="s">
        <v>53</v>
      </c>
      <c r="D47" s="2" t="s">
        <v>103</v>
      </c>
      <c r="E47" s="2" t="s">
        <v>106</v>
      </c>
      <c r="F47" s="4">
        <f ca="1">DATE(YEAR(TODAY()),4,18)</f>
        <v>45034</v>
      </c>
      <c r="G47" s="2" t="s">
        <v>112</v>
      </c>
      <c r="H47" s="4">
        <f ca="1">DATE(YEAR(TODAY()),4,22)</f>
        <v>45038</v>
      </c>
      <c r="I47" s="2" t="s">
        <v>109</v>
      </c>
    </row>
    <row r="48" spans="2:9" ht="30" customHeight="1" x14ac:dyDescent="0.25">
      <c r="B48" s="2">
        <v>45</v>
      </c>
      <c r="C48" s="2" t="s">
        <v>54</v>
      </c>
      <c r="D48" s="2" t="s">
        <v>103</v>
      </c>
      <c r="E48" s="2" t="s">
        <v>106</v>
      </c>
      <c r="F48" s="4">
        <f ca="1">DATE(YEAR(TODAY()),4,22)</f>
        <v>45038</v>
      </c>
      <c r="G48" s="2" t="s">
        <v>111</v>
      </c>
      <c r="H48" s="4">
        <f ca="1">DATE(YEAR(TODAY()),4,23)</f>
        <v>45039</v>
      </c>
      <c r="I48" s="2" t="s">
        <v>109</v>
      </c>
    </row>
    <row r="49" spans="2:9" ht="30" customHeight="1" x14ac:dyDescent="0.25">
      <c r="B49" s="2">
        <v>46</v>
      </c>
      <c r="C49" s="2" t="s">
        <v>55</v>
      </c>
      <c r="D49" s="2" t="s">
        <v>105</v>
      </c>
      <c r="E49" s="2" t="s">
        <v>104</v>
      </c>
      <c r="F49" s="4">
        <f ca="1">DATE(YEAR(TODAY()),4,23)</f>
        <v>45039</v>
      </c>
      <c r="G49" s="2" t="s">
        <v>107</v>
      </c>
      <c r="H49" s="4">
        <f ca="1">DATE(YEAR(TODAY()),4,24)</f>
        <v>45040</v>
      </c>
      <c r="I49" s="2" t="s">
        <v>109</v>
      </c>
    </row>
    <row r="50" spans="2:9" ht="30" customHeight="1" x14ac:dyDescent="0.25">
      <c r="B50" s="2">
        <v>47</v>
      </c>
      <c r="C50" s="2" t="s">
        <v>56</v>
      </c>
      <c r="D50" s="2" t="s">
        <v>103</v>
      </c>
      <c r="E50" s="2" t="s">
        <v>106</v>
      </c>
      <c r="F50" s="4">
        <f ca="1">DATE(YEAR(TODAY()),4,25)</f>
        <v>45041</v>
      </c>
      <c r="G50" s="2" t="s">
        <v>112</v>
      </c>
      <c r="H50" s="4">
        <f ca="1">DATE(YEAR(TODAY()),4,25)</f>
        <v>45041</v>
      </c>
      <c r="I50" s="2" t="s">
        <v>111</v>
      </c>
    </row>
    <row r="51" spans="2:9" ht="30" customHeight="1" x14ac:dyDescent="0.25">
      <c r="B51" s="2">
        <v>48</v>
      </c>
      <c r="C51" s="2" t="s">
        <v>57</v>
      </c>
      <c r="D51" s="2" t="s">
        <v>110</v>
      </c>
      <c r="E51" s="2" t="s">
        <v>106</v>
      </c>
      <c r="F51" s="4">
        <f ca="1">DATE(YEAR(TODAY()),4,30)</f>
        <v>45046</v>
      </c>
      <c r="G51" s="2" t="s">
        <v>112</v>
      </c>
      <c r="H51" s="4">
        <f ca="1">DATE(YEAR(TODAY()),5,1)</f>
        <v>45047</v>
      </c>
      <c r="I51" s="2" t="s">
        <v>109</v>
      </c>
    </row>
    <row r="52" spans="2:9" ht="30" customHeight="1" x14ac:dyDescent="0.25">
      <c r="B52" s="2">
        <v>49</v>
      </c>
      <c r="C52" s="2" t="s">
        <v>58</v>
      </c>
      <c r="D52" s="2" t="s">
        <v>103</v>
      </c>
      <c r="E52" s="2" t="s">
        <v>106</v>
      </c>
      <c r="F52" s="4">
        <f ca="1">DATE(YEAR(TODAY()),5,5)</f>
        <v>45051</v>
      </c>
      <c r="G52" s="2" t="s">
        <v>111</v>
      </c>
      <c r="H52" s="4">
        <f ca="1">DATE(YEAR(TODAY()),5,5)</f>
        <v>45051</v>
      </c>
      <c r="I52" s="2" t="s">
        <v>112</v>
      </c>
    </row>
    <row r="53" spans="2:9" ht="30" customHeight="1" x14ac:dyDescent="0.25">
      <c r="B53" s="2">
        <v>50</v>
      </c>
      <c r="C53" s="2" t="s">
        <v>59</v>
      </c>
      <c r="D53" s="2" t="s">
        <v>105</v>
      </c>
      <c r="E53" s="2" t="s">
        <v>106</v>
      </c>
      <c r="F53" s="4">
        <f ca="1">DATE(YEAR(TODAY()),5,5)</f>
        <v>45051</v>
      </c>
      <c r="G53" s="2" t="s">
        <v>109</v>
      </c>
      <c r="H53" s="4">
        <f ca="1">DATE(YEAR(TODAY()),5,9)</f>
        <v>45055</v>
      </c>
      <c r="I53" s="2" t="s">
        <v>107</v>
      </c>
    </row>
    <row r="54" spans="2:9" ht="30" customHeight="1" x14ac:dyDescent="0.25">
      <c r="B54" s="2">
        <v>51</v>
      </c>
      <c r="C54" s="2" t="s">
        <v>60</v>
      </c>
      <c r="D54" s="2" t="s">
        <v>105</v>
      </c>
      <c r="E54" s="2" t="s">
        <v>104</v>
      </c>
      <c r="F54" s="4">
        <f ca="1">DATE(YEAR(TODAY()),5,8)</f>
        <v>45054</v>
      </c>
      <c r="G54" s="2" t="s">
        <v>107</v>
      </c>
      <c r="H54" s="4">
        <f ca="1">DATE(YEAR(TODAY()),5,12)</f>
        <v>45058</v>
      </c>
      <c r="I54" s="2" t="s">
        <v>109</v>
      </c>
    </row>
    <row r="55" spans="2:9" ht="30" customHeight="1" x14ac:dyDescent="0.25">
      <c r="B55" s="2">
        <v>52</v>
      </c>
      <c r="C55" s="2" t="s">
        <v>61</v>
      </c>
      <c r="D55" s="2" t="s">
        <v>110</v>
      </c>
      <c r="E55" s="2" t="s">
        <v>108</v>
      </c>
      <c r="F55" s="4">
        <f ca="1">DATE(YEAR(TODAY()),5,11)</f>
        <v>45057</v>
      </c>
      <c r="G55" s="2" t="s">
        <v>107</v>
      </c>
      <c r="H55" s="4">
        <f ca="1">DATE(YEAR(TODAY()),5,14)</f>
        <v>45060</v>
      </c>
      <c r="I55" s="2" t="s">
        <v>112</v>
      </c>
    </row>
    <row r="56" spans="2:9" ht="30" customHeight="1" x14ac:dyDescent="0.25">
      <c r="B56" s="2">
        <v>53</v>
      </c>
      <c r="C56" s="2" t="s">
        <v>62</v>
      </c>
      <c r="D56" s="2" t="s">
        <v>113</v>
      </c>
      <c r="E56" s="2" t="s">
        <v>106</v>
      </c>
      <c r="F56" s="4">
        <f ca="1">DATE(YEAR(TODAY()),5,11)</f>
        <v>45057</v>
      </c>
      <c r="G56" s="2" t="s">
        <v>107</v>
      </c>
      <c r="H56" s="4">
        <f ca="1">DATE(YEAR(TODAY()),5,11)</f>
        <v>45057</v>
      </c>
      <c r="I56" s="2" t="s">
        <v>112</v>
      </c>
    </row>
    <row r="57" spans="2:9" ht="30" customHeight="1" x14ac:dyDescent="0.25">
      <c r="B57" s="2">
        <v>54</v>
      </c>
      <c r="C57" s="2" t="s">
        <v>63</v>
      </c>
      <c r="D57" s="2" t="s">
        <v>103</v>
      </c>
      <c r="E57" s="2" t="s">
        <v>108</v>
      </c>
      <c r="F57" s="4">
        <f ca="1">DATE(YEAR(TODAY()),5,12)</f>
        <v>45058</v>
      </c>
      <c r="G57" s="2" t="s">
        <v>107</v>
      </c>
      <c r="H57" s="4">
        <f ca="1">DATE(YEAR(TODAY()),5,12)</f>
        <v>45058</v>
      </c>
      <c r="I57" s="2" t="s">
        <v>112</v>
      </c>
    </row>
    <row r="58" spans="2:9" ht="30" customHeight="1" x14ac:dyDescent="0.25">
      <c r="B58" s="2">
        <v>55</v>
      </c>
      <c r="C58" s="2" t="s">
        <v>64</v>
      </c>
      <c r="D58" s="2" t="s">
        <v>103</v>
      </c>
      <c r="E58" s="2" t="s">
        <v>108</v>
      </c>
      <c r="F58" s="4">
        <f ca="1">DATE(YEAR(TODAY()),5,15)</f>
        <v>45061</v>
      </c>
      <c r="G58" s="2" t="s">
        <v>112</v>
      </c>
      <c r="H58" s="4">
        <f ca="1">DATE(YEAR(TODAY()),5,15)</f>
        <v>45061</v>
      </c>
      <c r="I58" s="2" t="s">
        <v>107</v>
      </c>
    </row>
    <row r="59" spans="2:9" ht="30" customHeight="1" x14ac:dyDescent="0.25">
      <c r="B59" s="2">
        <v>56</v>
      </c>
      <c r="C59" s="2" t="s">
        <v>65</v>
      </c>
      <c r="D59" s="2" t="s">
        <v>103</v>
      </c>
      <c r="E59" s="2" t="s">
        <v>106</v>
      </c>
      <c r="F59" s="4">
        <f ca="1">DATE(YEAR(TODAY()),5,17)</f>
        <v>45063</v>
      </c>
      <c r="G59" s="2" t="s">
        <v>111</v>
      </c>
      <c r="H59" s="4">
        <f ca="1">DATE(YEAR(TODAY()),5,17)</f>
        <v>45063</v>
      </c>
      <c r="I59" s="2" t="s">
        <v>111</v>
      </c>
    </row>
    <row r="60" spans="2:9" ht="30" customHeight="1" x14ac:dyDescent="0.25">
      <c r="B60" s="2">
        <v>57</v>
      </c>
      <c r="C60" s="2" t="s">
        <v>66</v>
      </c>
      <c r="D60" s="2" t="s">
        <v>103</v>
      </c>
      <c r="E60" s="2" t="s">
        <v>104</v>
      </c>
      <c r="F60" s="4">
        <f ca="1">DATE(YEAR(TODAY()),5,17)</f>
        <v>45063</v>
      </c>
      <c r="G60" s="2" t="s">
        <v>111</v>
      </c>
      <c r="H60" s="4">
        <f ca="1">DATE(YEAR(TODAY()),5,21)</f>
        <v>45067</v>
      </c>
      <c r="I60" s="2" t="s">
        <v>109</v>
      </c>
    </row>
    <row r="61" spans="2:9" ht="30" customHeight="1" x14ac:dyDescent="0.25">
      <c r="B61" s="2">
        <v>58</v>
      </c>
      <c r="C61" s="2" t="s">
        <v>67</v>
      </c>
      <c r="D61" s="2" t="s">
        <v>103</v>
      </c>
      <c r="E61" s="2" t="s">
        <v>104</v>
      </c>
      <c r="F61" s="4">
        <f ca="1">DATE(YEAR(TODAY()),5,17)</f>
        <v>45063</v>
      </c>
      <c r="G61" s="2" t="s">
        <v>111</v>
      </c>
      <c r="H61" s="4">
        <f ca="1">DATE(YEAR(TODAY()),5,19)</f>
        <v>45065</v>
      </c>
      <c r="I61" s="2" t="s">
        <v>111</v>
      </c>
    </row>
    <row r="62" spans="2:9" ht="30" customHeight="1" x14ac:dyDescent="0.25">
      <c r="B62" s="2">
        <v>59</v>
      </c>
      <c r="C62" s="2" t="s">
        <v>68</v>
      </c>
      <c r="D62" s="2" t="s">
        <v>110</v>
      </c>
      <c r="E62" s="2" t="s">
        <v>106</v>
      </c>
      <c r="F62" s="4">
        <f ca="1">DATE(YEAR(TODAY()),5,21)</f>
        <v>45067</v>
      </c>
      <c r="G62" s="2" t="s">
        <v>109</v>
      </c>
      <c r="H62" s="4">
        <f ca="1">DATE(YEAR(TODAY()),5,21)</f>
        <v>45067</v>
      </c>
      <c r="I62" s="2" t="s">
        <v>112</v>
      </c>
    </row>
    <row r="63" spans="2:9" ht="30" customHeight="1" x14ac:dyDescent="0.25">
      <c r="B63" s="2">
        <v>60</v>
      </c>
      <c r="C63" s="2" t="s">
        <v>69</v>
      </c>
      <c r="D63" s="2" t="s">
        <v>110</v>
      </c>
      <c r="E63" s="2" t="s">
        <v>104</v>
      </c>
      <c r="F63" s="4">
        <f ca="1">DATE(YEAR(TODAY()),5,24)</f>
        <v>45070</v>
      </c>
      <c r="G63" s="2" t="s">
        <v>112</v>
      </c>
      <c r="H63" s="4">
        <f ca="1">DATE(YEAR(TODAY()),5,26)</f>
        <v>45072</v>
      </c>
      <c r="I63" s="2" t="s">
        <v>109</v>
      </c>
    </row>
    <row r="64" spans="2:9" ht="30" customHeight="1" x14ac:dyDescent="0.25">
      <c r="B64" s="2">
        <v>61</v>
      </c>
      <c r="C64" s="2" t="s">
        <v>70</v>
      </c>
      <c r="D64" s="2" t="s">
        <v>105</v>
      </c>
      <c r="E64" s="2" t="s">
        <v>106</v>
      </c>
      <c r="F64" s="4">
        <f ca="1">DATE(YEAR(TODAY()),5,25)</f>
        <v>45071</v>
      </c>
      <c r="G64" s="2" t="s">
        <v>109</v>
      </c>
      <c r="H64" s="4">
        <f ca="1">DATE(YEAR(TODAY()),5,25)</f>
        <v>45071</v>
      </c>
      <c r="I64" s="2" t="s">
        <v>111</v>
      </c>
    </row>
    <row r="65" spans="2:9" ht="30" customHeight="1" x14ac:dyDescent="0.25">
      <c r="B65" s="2">
        <v>62</v>
      </c>
      <c r="C65" s="2" t="s">
        <v>71</v>
      </c>
      <c r="D65" s="2" t="s">
        <v>110</v>
      </c>
      <c r="E65" s="2" t="s">
        <v>108</v>
      </c>
      <c r="F65" s="4">
        <f ca="1">DATE(YEAR(TODAY()),5,30)</f>
        <v>45076</v>
      </c>
      <c r="G65" s="2" t="s">
        <v>111</v>
      </c>
      <c r="H65" s="4">
        <f ca="1">DATE(YEAR(TODAY()),6,3)</f>
        <v>45080</v>
      </c>
      <c r="I65" s="2" t="s">
        <v>107</v>
      </c>
    </row>
    <row r="66" spans="2:9" ht="30" customHeight="1" x14ac:dyDescent="0.25">
      <c r="B66" s="2">
        <v>63</v>
      </c>
      <c r="C66" s="2" t="s">
        <v>72</v>
      </c>
      <c r="D66" s="2" t="s">
        <v>113</v>
      </c>
      <c r="E66" s="2" t="s">
        <v>108</v>
      </c>
      <c r="F66" s="4">
        <f ca="1">DATE(YEAR(TODAY()),6,4)</f>
        <v>45081</v>
      </c>
      <c r="G66" s="2" t="s">
        <v>107</v>
      </c>
      <c r="H66" s="4">
        <f ca="1">DATE(YEAR(TODAY()),6,4)</f>
        <v>45081</v>
      </c>
      <c r="I66" s="2" t="s">
        <v>107</v>
      </c>
    </row>
    <row r="67" spans="2:9" ht="30" customHeight="1" x14ac:dyDescent="0.25">
      <c r="B67" s="2">
        <v>64</v>
      </c>
      <c r="C67" s="2" t="s">
        <v>73</v>
      </c>
      <c r="D67" s="2" t="s">
        <v>113</v>
      </c>
      <c r="E67" s="2" t="s">
        <v>108</v>
      </c>
      <c r="F67" s="4">
        <f ca="1">DATE(YEAR(TODAY()),6,7)</f>
        <v>45084</v>
      </c>
      <c r="G67" s="2" t="s">
        <v>112</v>
      </c>
      <c r="H67" s="4">
        <f ca="1">DATE(YEAR(TODAY()),6,9)</f>
        <v>45086</v>
      </c>
      <c r="I67" s="2" t="s">
        <v>112</v>
      </c>
    </row>
    <row r="68" spans="2:9" ht="30" customHeight="1" x14ac:dyDescent="0.25">
      <c r="B68" s="2">
        <v>65</v>
      </c>
      <c r="C68" s="2" t="s">
        <v>74</v>
      </c>
      <c r="D68" s="2" t="s">
        <v>113</v>
      </c>
      <c r="E68" s="2" t="s">
        <v>104</v>
      </c>
      <c r="F68" s="4">
        <f t="shared" ref="F68" ca="1" si="8">DATE(YEAR(TODAY()),6,7)</f>
        <v>45084</v>
      </c>
      <c r="G68" s="2" t="s">
        <v>112</v>
      </c>
      <c r="H68" s="4">
        <f ca="1">DATE(YEAR(TODAY()),6,7)</f>
        <v>45084</v>
      </c>
      <c r="I68" s="2" t="s">
        <v>107</v>
      </c>
    </row>
    <row r="69" spans="2:9" ht="30" customHeight="1" x14ac:dyDescent="0.25">
      <c r="B69" s="2">
        <v>66</v>
      </c>
      <c r="C69" s="2" t="s">
        <v>75</v>
      </c>
      <c r="D69" s="2" t="s">
        <v>113</v>
      </c>
      <c r="E69" s="2" t="s">
        <v>106</v>
      </c>
      <c r="F69" s="4">
        <f ca="1">DATE(YEAR(TODAY()),6,12)</f>
        <v>45089</v>
      </c>
      <c r="G69" s="2" t="s">
        <v>109</v>
      </c>
      <c r="H69" s="4">
        <f ca="1">DATE(YEAR(TODAY()),6,12)</f>
        <v>45089</v>
      </c>
      <c r="I69" s="2" t="s">
        <v>109</v>
      </c>
    </row>
    <row r="70" spans="2:9" ht="30" customHeight="1" x14ac:dyDescent="0.25">
      <c r="B70" s="2">
        <v>67</v>
      </c>
      <c r="C70" s="2" t="s">
        <v>76</v>
      </c>
      <c r="D70" s="2" t="s">
        <v>103</v>
      </c>
      <c r="E70" s="2" t="s">
        <v>106</v>
      </c>
      <c r="F70" s="4">
        <f ca="1">DATE(YEAR(TODAY()),6,17)</f>
        <v>45094</v>
      </c>
      <c r="G70" s="2" t="s">
        <v>112</v>
      </c>
      <c r="H70" s="4">
        <f ca="1">DATE(YEAR(TODAY()),6,17)</f>
        <v>45094</v>
      </c>
      <c r="I70" s="2" t="s">
        <v>107</v>
      </c>
    </row>
    <row r="71" spans="2:9" ht="30" customHeight="1" x14ac:dyDescent="0.25">
      <c r="B71" s="2">
        <v>68</v>
      </c>
      <c r="C71" s="2" t="s">
        <v>77</v>
      </c>
      <c r="D71" s="2" t="s">
        <v>113</v>
      </c>
      <c r="E71" s="2" t="s">
        <v>108</v>
      </c>
      <c r="F71" s="4">
        <f ca="1">DATE(YEAR(TODAY()),6,18)</f>
        <v>45095</v>
      </c>
      <c r="G71" s="2" t="s">
        <v>111</v>
      </c>
      <c r="H71" s="4">
        <f ca="1">DATE(YEAR(TODAY()),6,18)</f>
        <v>45095</v>
      </c>
      <c r="I71" s="2" t="s">
        <v>107</v>
      </c>
    </row>
    <row r="72" spans="2:9" ht="30" customHeight="1" x14ac:dyDescent="0.25">
      <c r="B72" s="2">
        <v>69</v>
      </c>
      <c r="C72" s="2" t="s">
        <v>78</v>
      </c>
      <c r="D72" s="2" t="s">
        <v>110</v>
      </c>
      <c r="E72" s="2" t="s">
        <v>106</v>
      </c>
      <c r="F72" s="4">
        <f t="shared" ref="F72:F73" ca="1" si="9">DATE(YEAR(TODAY()),6,18)</f>
        <v>45095</v>
      </c>
      <c r="G72" s="2" t="s">
        <v>107</v>
      </c>
      <c r="H72" s="4">
        <f ca="1">DATE(YEAR(TODAY()),6,18)</f>
        <v>45095</v>
      </c>
      <c r="I72" s="2" t="s">
        <v>111</v>
      </c>
    </row>
    <row r="73" spans="2:9" ht="30" customHeight="1" x14ac:dyDescent="0.25">
      <c r="B73" s="2">
        <v>70</v>
      </c>
      <c r="C73" s="2" t="s">
        <v>79</v>
      </c>
      <c r="D73" s="2" t="s">
        <v>113</v>
      </c>
      <c r="E73" s="2" t="s">
        <v>104</v>
      </c>
      <c r="F73" s="4">
        <f t="shared" ca="1" si="9"/>
        <v>45095</v>
      </c>
      <c r="G73" s="2" t="s">
        <v>111</v>
      </c>
      <c r="H73" s="4">
        <f t="shared" ref="H73" ca="1" si="10">DATE(YEAR(TODAY()),6,18)</f>
        <v>45095</v>
      </c>
      <c r="I73" s="2" t="s">
        <v>109</v>
      </c>
    </row>
    <row r="74" spans="2:9" ht="30" customHeight="1" x14ac:dyDescent="0.25">
      <c r="B74" s="2">
        <v>71</v>
      </c>
      <c r="C74" s="2" t="s">
        <v>80</v>
      </c>
      <c r="D74" s="2" t="s">
        <v>110</v>
      </c>
      <c r="E74" s="2" t="s">
        <v>104</v>
      </c>
      <c r="F74" s="4">
        <f ca="1">DATE(YEAR(TODAY()),6,19)</f>
        <v>45096</v>
      </c>
      <c r="G74" s="2" t="s">
        <v>107</v>
      </c>
      <c r="H74" s="4">
        <f ca="1">DATE(YEAR(TODAY()),6,19)</f>
        <v>45096</v>
      </c>
      <c r="I74" s="2" t="s">
        <v>111</v>
      </c>
    </row>
    <row r="75" spans="2:9" ht="30" customHeight="1" x14ac:dyDescent="0.25">
      <c r="B75" s="2">
        <v>72</v>
      </c>
      <c r="C75" s="2" t="s">
        <v>81</v>
      </c>
      <c r="D75" s="2" t="s">
        <v>105</v>
      </c>
      <c r="E75" s="2" t="s">
        <v>104</v>
      </c>
      <c r="F75" s="4">
        <f ca="1">DATE(YEAR(TODAY()),6,23)</f>
        <v>45100</v>
      </c>
      <c r="G75" s="2" t="s">
        <v>112</v>
      </c>
      <c r="H75" s="4">
        <f ca="1">DATE(YEAR(TODAY()),6,23)</f>
        <v>45100</v>
      </c>
      <c r="I75" s="2" t="s">
        <v>107</v>
      </c>
    </row>
    <row r="76" spans="2:9" ht="30" customHeight="1" x14ac:dyDescent="0.25">
      <c r="B76" s="2">
        <v>73</v>
      </c>
      <c r="C76" s="2" t="s">
        <v>82</v>
      </c>
      <c r="D76" s="2" t="s">
        <v>113</v>
      </c>
      <c r="E76" s="2" t="s">
        <v>108</v>
      </c>
      <c r="F76" s="4">
        <f ca="1">DATE(YEAR(TODAY()),6,28)</f>
        <v>45105</v>
      </c>
      <c r="G76" s="2" t="s">
        <v>107</v>
      </c>
      <c r="H76" s="4">
        <f ca="1">DATE(YEAR(TODAY()),6,30)</f>
        <v>45107</v>
      </c>
      <c r="I76" s="2" t="s">
        <v>109</v>
      </c>
    </row>
    <row r="77" spans="2:9" ht="30" customHeight="1" x14ac:dyDescent="0.25">
      <c r="B77" s="2">
        <v>74</v>
      </c>
      <c r="C77" s="2" t="s">
        <v>83</v>
      </c>
      <c r="D77" s="2" t="s">
        <v>103</v>
      </c>
      <c r="E77" s="2" t="s">
        <v>108</v>
      </c>
      <c r="F77" s="4">
        <f ca="1">DATE(YEAR(TODAY()),6,28)</f>
        <v>45105</v>
      </c>
      <c r="G77" s="2" t="s">
        <v>109</v>
      </c>
      <c r="H77" s="4">
        <f ca="1">DATE(YEAR(TODAY()),6,28)</f>
        <v>45105</v>
      </c>
      <c r="I77" s="2" t="s">
        <v>109</v>
      </c>
    </row>
    <row r="78" spans="2:9" ht="30" customHeight="1" x14ac:dyDescent="0.25">
      <c r="B78" s="2">
        <v>75</v>
      </c>
      <c r="C78" s="2" t="s">
        <v>84</v>
      </c>
      <c r="D78" s="2" t="s">
        <v>113</v>
      </c>
      <c r="E78" s="2" t="s">
        <v>104</v>
      </c>
      <c r="F78" s="4">
        <f ca="1">DATE(YEAR(TODAY()),7,3)</f>
        <v>45110</v>
      </c>
      <c r="G78" s="2" t="s">
        <v>107</v>
      </c>
      <c r="H78" s="4">
        <f ca="1">DATE(YEAR(TODAY()),7,3)</f>
        <v>45110</v>
      </c>
      <c r="I78" s="2" t="s">
        <v>109</v>
      </c>
    </row>
    <row r="79" spans="2:9" ht="30" customHeight="1" x14ac:dyDescent="0.25">
      <c r="B79" s="2">
        <v>76</v>
      </c>
      <c r="C79" s="2" t="s">
        <v>85</v>
      </c>
      <c r="D79" s="2" t="s">
        <v>110</v>
      </c>
      <c r="E79" s="2" t="s">
        <v>104</v>
      </c>
      <c r="F79" s="4">
        <f ca="1">DATE(YEAR(TODAY()),7,4)</f>
        <v>45111</v>
      </c>
      <c r="G79" s="2" t="s">
        <v>109</v>
      </c>
      <c r="H79" s="4">
        <f ca="1">DATE(YEAR(TODAY()),7,8)</f>
        <v>45115</v>
      </c>
      <c r="I79" s="2" t="s">
        <v>112</v>
      </c>
    </row>
    <row r="80" spans="2:9" ht="30" customHeight="1" x14ac:dyDescent="0.25">
      <c r="B80" s="2">
        <v>77</v>
      </c>
      <c r="C80" s="2" t="s">
        <v>86</v>
      </c>
      <c r="D80" s="2" t="s">
        <v>105</v>
      </c>
      <c r="E80" s="2" t="s">
        <v>104</v>
      </c>
      <c r="F80" s="4">
        <f t="shared" ref="F80" ca="1" si="11">DATE(YEAR(TODAY()),7,4)</f>
        <v>45111</v>
      </c>
      <c r="G80" s="2" t="s">
        <v>112</v>
      </c>
      <c r="H80" s="4">
        <f ca="1">DATE(YEAR(TODAY()),7,4)</f>
        <v>45111</v>
      </c>
      <c r="I80" s="2" t="s">
        <v>109</v>
      </c>
    </row>
    <row r="81" spans="2:9" ht="30" customHeight="1" x14ac:dyDescent="0.25">
      <c r="B81" s="2">
        <v>78</v>
      </c>
      <c r="C81" s="2" t="s">
        <v>87</v>
      </c>
      <c r="D81" s="2" t="s">
        <v>105</v>
      </c>
      <c r="E81" s="2" t="s">
        <v>104</v>
      </c>
      <c r="F81" s="4">
        <f ca="1">DATE(YEAR(TODAY()),7,5)</f>
        <v>45112</v>
      </c>
      <c r="G81" s="2" t="s">
        <v>112</v>
      </c>
      <c r="H81" s="4">
        <f ca="1">DATE(YEAR(TODAY()),7,10)</f>
        <v>45117</v>
      </c>
      <c r="I81" s="2" t="s">
        <v>111</v>
      </c>
    </row>
    <row r="82" spans="2:9" ht="30" customHeight="1" x14ac:dyDescent="0.25">
      <c r="B82" s="2">
        <v>79</v>
      </c>
      <c r="C82" s="2" t="s">
        <v>88</v>
      </c>
      <c r="D82" s="2" t="s">
        <v>113</v>
      </c>
      <c r="E82" s="2" t="s">
        <v>106</v>
      </c>
      <c r="F82" s="4">
        <f ca="1">DATE(YEAR(TODAY()),7,10)</f>
        <v>45117</v>
      </c>
      <c r="G82" s="2" t="s">
        <v>107</v>
      </c>
      <c r="H82" s="4">
        <f ca="1">DATE(YEAR(TODAY()),7,15)</f>
        <v>45122</v>
      </c>
      <c r="I82" s="2" t="s">
        <v>111</v>
      </c>
    </row>
    <row r="83" spans="2:9" ht="30" customHeight="1" x14ac:dyDescent="0.25">
      <c r="B83" s="2">
        <v>80</v>
      </c>
      <c r="C83" s="2" t="s">
        <v>89</v>
      </c>
      <c r="D83" s="2" t="s">
        <v>103</v>
      </c>
      <c r="E83" s="2" t="s">
        <v>104</v>
      </c>
      <c r="F83" s="4">
        <f t="shared" ref="F83" ca="1" si="12">DATE(YEAR(TODAY()),7,10)</f>
        <v>45117</v>
      </c>
      <c r="G83" s="2" t="s">
        <v>112</v>
      </c>
      <c r="H83" s="4">
        <f ca="1">DATE(YEAR(TODAY()),7,12)</f>
        <v>45119</v>
      </c>
      <c r="I83" s="2" t="s">
        <v>107</v>
      </c>
    </row>
    <row r="84" spans="2:9" ht="30" customHeight="1" x14ac:dyDescent="0.25">
      <c r="B84" s="2">
        <v>81</v>
      </c>
      <c r="C84" s="2" t="s">
        <v>90</v>
      </c>
      <c r="D84" s="2" t="s">
        <v>113</v>
      </c>
      <c r="E84" s="2" t="s">
        <v>104</v>
      </c>
      <c r="F84" s="4">
        <f ca="1">DATE(YEAR(TODAY()),7,11)</f>
        <v>45118</v>
      </c>
      <c r="G84" s="2" t="s">
        <v>111</v>
      </c>
      <c r="H84" s="4">
        <f ca="1">DATE(YEAR(TODAY()),7,13)</f>
        <v>45120</v>
      </c>
      <c r="I84" s="2" t="s">
        <v>112</v>
      </c>
    </row>
    <row r="85" spans="2:9" ht="30" customHeight="1" x14ac:dyDescent="0.25">
      <c r="B85" s="2">
        <v>82</v>
      </c>
      <c r="C85" s="2" t="s">
        <v>91</v>
      </c>
      <c r="D85" s="2" t="s">
        <v>103</v>
      </c>
      <c r="E85" s="2" t="s">
        <v>104</v>
      </c>
      <c r="F85" s="4">
        <f ca="1">DATE(YEAR(TODAY()),7,15)</f>
        <v>45122</v>
      </c>
      <c r="G85" s="2" t="s">
        <v>111</v>
      </c>
      <c r="H85" s="4">
        <f ca="1">DATE(YEAR(TODAY()),7,18)</f>
        <v>45125</v>
      </c>
      <c r="I85" s="2" t="s">
        <v>109</v>
      </c>
    </row>
    <row r="86" spans="2:9" ht="30" customHeight="1" x14ac:dyDescent="0.25">
      <c r="B86" s="2">
        <v>83</v>
      </c>
      <c r="C86" s="2" t="s">
        <v>92</v>
      </c>
      <c r="D86" s="2" t="s">
        <v>113</v>
      </c>
      <c r="E86" s="2" t="s">
        <v>104</v>
      </c>
      <c r="F86" s="4">
        <f ca="1">DATE(YEAR(TODAY()),7,17)</f>
        <v>45124</v>
      </c>
      <c r="G86" s="2" t="s">
        <v>109</v>
      </c>
      <c r="H86" s="4">
        <f ca="1">DATE(YEAR(TODAY()),7,20)</f>
        <v>45127</v>
      </c>
      <c r="I86" s="2" t="s">
        <v>112</v>
      </c>
    </row>
    <row r="87" spans="2:9" ht="30" customHeight="1" x14ac:dyDescent="0.25">
      <c r="B87" s="2">
        <v>84</v>
      </c>
      <c r="C87" s="2" t="s">
        <v>93</v>
      </c>
      <c r="D87" s="2" t="s">
        <v>105</v>
      </c>
      <c r="E87" s="2" t="s">
        <v>108</v>
      </c>
      <c r="F87" s="4">
        <f ca="1">DATE(YEAR(TODAY()),7,20)</f>
        <v>45127</v>
      </c>
      <c r="G87" s="2" t="s">
        <v>107</v>
      </c>
      <c r="H87" s="4">
        <f ca="1">DATE(YEAR(TODAY()),7,20)</f>
        <v>45127</v>
      </c>
      <c r="I87" s="2" t="s">
        <v>111</v>
      </c>
    </row>
    <row r="88" spans="2:9" ht="30" customHeight="1" x14ac:dyDescent="0.25">
      <c r="B88" s="2">
        <v>85</v>
      </c>
      <c r="C88" s="2" t="s">
        <v>94</v>
      </c>
      <c r="D88" s="2" t="s">
        <v>103</v>
      </c>
      <c r="E88" s="2" t="s">
        <v>106</v>
      </c>
      <c r="F88" s="4">
        <f ca="1">DATE(YEAR(TODAY()),7,23)</f>
        <v>45130</v>
      </c>
      <c r="G88" s="2" t="s">
        <v>107</v>
      </c>
      <c r="H88" s="4">
        <f ca="1">DATE(YEAR(TODAY()),7,23)</f>
        <v>45130</v>
      </c>
      <c r="I88" s="2" t="s">
        <v>112</v>
      </c>
    </row>
    <row r="89" spans="2:9" ht="30" customHeight="1" x14ac:dyDescent="0.25">
      <c r="B89" s="2">
        <v>86</v>
      </c>
      <c r="C89" s="2" t="s">
        <v>95</v>
      </c>
      <c r="D89" s="2" t="s">
        <v>110</v>
      </c>
      <c r="E89" s="2" t="s">
        <v>106</v>
      </c>
      <c r="F89" s="4">
        <f ca="1">DATE(YEAR(TODAY()),7,28)</f>
        <v>45135</v>
      </c>
      <c r="G89" s="2" t="s">
        <v>109</v>
      </c>
      <c r="H89" s="4">
        <f ca="1">DATE(YEAR(TODAY()),7,28)</f>
        <v>45135</v>
      </c>
      <c r="I89" s="2" t="s">
        <v>109</v>
      </c>
    </row>
    <row r="90" spans="2:9" ht="30" customHeight="1" x14ac:dyDescent="0.25">
      <c r="B90" s="2">
        <v>87</v>
      </c>
      <c r="C90" s="2" t="s">
        <v>96</v>
      </c>
      <c r="D90" s="2" t="s">
        <v>105</v>
      </c>
      <c r="E90" s="2" t="s">
        <v>106</v>
      </c>
      <c r="F90" s="4">
        <f ca="1">DATE(YEAR(TODAY()),7,28)</f>
        <v>45135</v>
      </c>
      <c r="G90" s="2" t="s">
        <v>111</v>
      </c>
      <c r="H90" s="4">
        <f ca="1">DATE(YEAR(TODAY()),8,2)</f>
        <v>45140</v>
      </c>
      <c r="I90" s="2" t="s">
        <v>109</v>
      </c>
    </row>
    <row r="91" spans="2:9" ht="30" customHeight="1" x14ac:dyDescent="0.25">
      <c r="B91" s="2">
        <v>88</v>
      </c>
      <c r="C91" s="2" t="s">
        <v>97</v>
      </c>
      <c r="D91" s="2" t="s">
        <v>105</v>
      </c>
      <c r="E91" s="2" t="s">
        <v>106</v>
      </c>
      <c r="F91" s="4">
        <f ca="1">DATE(YEAR(TODAY()),7,31)</f>
        <v>45138</v>
      </c>
      <c r="G91" s="2" t="s">
        <v>112</v>
      </c>
      <c r="H91" s="4">
        <f ca="1">DATE(YEAR(TODAY()),7,31)</f>
        <v>45138</v>
      </c>
      <c r="I91" s="2" t="s">
        <v>107</v>
      </c>
    </row>
    <row r="92" spans="2:9" ht="30" customHeight="1" x14ac:dyDescent="0.25">
      <c r="B92" s="2">
        <v>89</v>
      </c>
      <c r="C92" s="2" t="s">
        <v>98</v>
      </c>
      <c r="D92" s="2" t="s">
        <v>110</v>
      </c>
      <c r="E92" s="2" t="s">
        <v>104</v>
      </c>
      <c r="F92" s="4">
        <f ca="1">DATE(YEAR(TODAY()),8,2)</f>
        <v>45140</v>
      </c>
      <c r="G92" s="2" t="s">
        <v>109</v>
      </c>
      <c r="H92" s="4">
        <f ca="1">DATE(YEAR(TODAY()),8,6)</f>
        <v>45144</v>
      </c>
      <c r="I92" s="2" t="s">
        <v>111</v>
      </c>
    </row>
    <row r="93" spans="2:9" ht="30" customHeight="1" x14ac:dyDescent="0.25">
      <c r="B93" s="2">
        <v>90</v>
      </c>
      <c r="C93" s="2" t="s">
        <v>99</v>
      </c>
      <c r="D93" s="2" t="s">
        <v>113</v>
      </c>
      <c r="E93" s="2" t="s">
        <v>106</v>
      </c>
      <c r="F93" s="4">
        <f ca="1">DATE(YEAR(TODAY()),8,6)</f>
        <v>45144</v>
      </c>
      <c r="G93" s="2" t="s">
        <v>109</v>
      </c>
      <c r="H93" s="4">
        <f ca="1">DATE(YEAR(TODAY()),8,6)</f>
        <v>45144</v>
      </c>
      <c r="I93" s="2" t="s">
        <v>107</v>
      </c>
    </row>
  </sheetData>
  <mergeCells count="1">
    <mergeCell ref="B1:J1"/>
  </mergeCells>
  <dataValidations count="11">
    <dataValidation allowBlank="1" showInputMessage="1" showErrorMessage="1" prompt="Enter issue Number in this column under this heading. Use heading filters to find specific entries" sqref="B3" xr:uid="{00000000-0002-0000-0000-000004000000}"/>
    <dataValidation allowBlank="1" showInputMessage="1" showErrorMessage="1" prompt="Enter Issue description in this column under this heading" sqref="C3" xr:uid="{00000000-0002-0000-0000-000005000000}"/>
    <dataValidation allowBlank="1" showInputMessage="1" showErrorMessage="1" prompt="Enter issue Type in this column under this heading" sqref="D3" xr:uid="{00000000-0002-0000-0000-000006000000}"/>
    <dataValidation allowBlank="1" showInputMessage="1" showErrorMessage="1" prompt="Enter Priority in this column under this heading" sqref="E3" xr:uid="{00000000-0002-0000-0000-000007000000}"/>
    <dataValidation allowBlank="1" showInputMessage="1" showErrorMessage="1" prompt="Enter issue Opening Date in this column under this heading" sqref="F3" xr:uid="{00000000-0002-0000-0000-000008000000}"/>
    <dataValidation allowBlank="1" showInputMessage="1" showErrorMessage="1" prompt="Enter Opened By name in this column under this heading" sqref="G3" xr:uid="{00000000-0002-0000-0000-000009000000}"/>
    <dataValidation allowBlank="1" showInputMessage="1" showErrorMessage="1" prompt="Enter issue Closing Date in this column under this heading" sqref="H3" xr:uid="{00000000-0002-0000-0000-00000A000000}"/>
    <dataValidation allowBlank="1" showInputMessage="1" showErrorMessage="1" prompt="Enter Closed By name in this column under this heading" sqref="I3" xr:uid="{00000000-0002-0000-0000-00000B000000}"/>
    <dataValidation allowBlank="1" showInputMessage="1" showErrorMessage="1" prompt="Enter Notes in this column under this heading" sqref="J3" xr:uid="{00000000-0002-0000-0000-00000C000000}"/>
    <dataValidation allowBlank="1" showInputMessage="1" showErrorMessage="1" prompt="Title of this worksheet is in this cell. Enter issue Type, Priority, Date, and number of days issue Lasts in cells at right to update Issue Tracker Chart in cell below" sqref="B1" xr:uid="{00000000-0002-0000-0000-00000D000000}"/>
    <dataValidation allowBlank="1" showInputMessage="1" showErrorMessage="1" prompt="Create a Project Issue Tracker in this workbook. Enter issue details in table starting in cell B5. Issue Tracker Chart is in cell A3" sqref="A1" xr:uid="{00000000-0002-0000-0000-000012000000}"/>
  </dataValidations>
  <printOptions horizontalCentered="1" verticalCentered="1"/>
  <pageMargins left="0.7" right="0.7" top="0.75" bottom="0.75" header="0.3" footer="0.3"/>
  <pageSetup scale="45" fitToHeight="0" orientation="portrait" r:id="rId1"/>
  <headerFooter>
    <oddFooter>&amp;L&amp;G&amp;R&amp;P</oddFooter>
  </headerFooter>
  <ignoredErrors>
    <ignoredError sqref="H5 H7 H61" formula="1"/>
  </ignoredErrors>
  <legacyDrawingHF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80"/>
  <sheetViews>
    <sheetView workbookViewId="0"/>
  </sheetViews>
  <sheetFormatPr defaultRowHeight="15.75" x14ac:dyDescent="0.25"/>
  <cols>
    <col min="8" max="8" width="11" customWidth="1"/>
    <col min="10" max="10" width="11.375" customWidth="1"/>
    <col min="14" max="15" width="14.375" customWidth="1"/>
  </cols>
  <sheetData>
    <row r="1" spans="1:20" ht="110.25" x14ac:dyDescent="0.25">
      <c r="A1" t="s">
        <v>102</v>
      </c>
    </row>
    <row r="4" spans="1:20" x14ac:dyDescent="0.25">
      <c r="I4" t="s">
        <v>100</v>
      </c>
      <c r="J4" s="1">
        <f ca="1">DATE((YEAR(TODAY())-1),1,1)</f>
        <v>44562</v>
      </c>
    </row>
    <row r="5" spans="1:20" x14ac:dyDescent="0.25">
      <c r="I5" t="s">
        <v>101</v>
      </c>
      <c r="J5" s="1"/>
    </row>
    <row r="7" spans="1:20" x14ac:dyDescent="0.25">
      <c r="I7" t="s">
        <v>49</v>
      </c>
      <c r="J7">
        <f>'Issue Tracker'!J2</f>
        <v>0</v>
      </c>
    </row>
    <row r="8" spans="1:20" x14ac:dyDescent="0.25">
      <c r="I8" t="s">
        <v>48</v>
      </c>
      <c r="J8" s="1">
        <f>'Issue Tracker'!I2</f>
        <v>0</v>
      </c>
      <c r="N8">
        <f ca="1">COUNT(typesUnsorted)</f>
        <v>0</v>
      </c>
    </row>
    <row r="9" spans="1:20" x14ac:dyDescent="0.25">
      <c r="I9" t="s">
        <v>0</v>
      </c>
      <c r="J9">
        <f>'Issue Tracker'!G2</f>
        <v>0</v>
      </c>
    </row>
    <row r="10" spans="1:20" x14ac:dyDescent="0.25">
      <c r="I10" t="s">
        <v>1</v>
      </c>
      <c r="J10">
        <f>'Issue Tracker'!H2</f>
        <v>0</v>
      </c>
    </row>
    <row r="12" spans="1:20" x14ac:dyDescent="0.25">
      <c r="N12" t="e">
        <f ca="1">OFFSET($N$16,,,$N$13)</f>
        <v>#VALUE!</v>
      </c>
      <c r="O12" t="e">
        <f ca="1">OFFSET($O$16,,,$O$13)</f>
        <v>#VALUE!</v>
      </c>
    </row>
    <row r="13" spans="1:20" x14ac:dyDescent="0.25">
      <c r="N13">
        <f>COUNTA(N16:N45)-COUNTIF(N16:N45,NA())</f>
        <v>4</v>
      </c>
      <c r="O13">
        <f>COUNTA(O16:O45)-COUNTIF(O16:O45,NA())</f>
        <v>3</v>
      </c>
      <c r="S13" t="s">
        <v>114</v>
      </c>
      <c r="T13" t="s">
        <v>114</v>
      </c>
    </row>
    <row r="14" spans="1:20" ht="31.5" x14ac:dyDescent="0.25">
      <c r="H14" t="s">
        <v>48</v>
      </c>
      <c r="I14" t="s">
        <v>45</v>
      </c>
      <c r="J14" t="s">
        <v>46</v>
      </c>
      <c r="N14" t="s">
        <v>50</v>
      </c>
      <c r="O14" t="s">
        <v>51</v>
      </c>
      <c r="S14" t="s">
        <v>50</v>
      </c>
      <c r="T14" t="s">
        <v>51</v>
      </c>
    </row>
    <row r="15" spans="1:20" x14ac:dyDescent="0.25">
      <c r="N15" t="s">
        <v>47</v>
      </c>
      <c r="O15" t="s">
        <v>47</v>
      </c>
    </row>
    <row r="16" spans="1:20" x14ac:dyDescent="0.25">
      <c r="G16">
        <v>1</v>
      </c>
      <c r="H16" s="1">
        <f t="shared" ref="H16:H47" si="0">keydate-days+G16</f>
        <v>1</v>
      </c>
      <c r="I16">
        <f ca="1">I15+COUNTIFS(Issues[OPENED ON],H16,Issues[TYPE],type,Issues[PRIORITY],priority)</f>
        <v>0</v>
      </c>
      <c r="J16">
        <f ca="1">J15+COUNTIFS(Issues[CLOSED ON],H16,Issues[TYPE],type,Issues[PRIORITY],priority)</f>
        <v>0</v>
      </c>
      <c r="N16" t="str">
        <f t="array" ref="N16">INDEX(Issues[TYPE],MATCH(0,COUNTIF(N$15:N15, Issues[TYPE]),0))</f>
        <v>Type 2</v>
      </c>
      <c r="O16" t="str">
        <f t="array" ref="O16">INDEX(Issues[PRIORITY],MATCH(0,COUNTIF(O$15:O15,Issues[PRIORITY]),0))</f>
        <v>Medium</v>
      </c>
      <c r="S16" t="str">
        <f t="array" aca="1" ref="S16" ca="1">INDEX(typesUnsorted, MATCH(SMALL(COUNTIF(typesUnsorted, "&lt;"&amp;typesUnsorted), ROW(1:1)), COUNTIF(typesUnsorted, "&lt;"&amp;typesUnsorted), 0))</f>
        <v>*</v>
      </c>
      <c r="T16" t="str">
        <f t="array" aca="1" ref="T16" ca="1">INDEX(prioritiesUnsorted, MATCH(SMALL(COUNTIF(prioritiesUnsorted, "&lt;"&amp;prioritiesUnsorted), ROW(1:1)), COUNTIF(prioritiesUnsorted, "&lt;"&amp;prioritiesUnsorted), 0))</f>
        <v>*</v>
      </c>
    </row>
    <row r="17" spans="7:20" x14ac:dyDescent="0.25">
      <c r="G17">
        <v>2</v>
      </c>
      <c r="H17" s="1">
        <f t="shared" si="0"/>
        <v>2</v>
      </c>
      <c r="I17">
        <f ca="1">I16+COUNTIFS(Issues[OPENED ON],H17,Issues[TYPE],type,Issues[PRIORITY],priority)</f>
        <v>0</v>
      </c>
      <c r="J17">
        <f ca="1">J16+COUNTIFS(Issues[CLOSED ON],H17,Issues[TYPE],type,Issues[PRIORITY],priority)</f>
        <v>0</v>
      </c>
      <c r="N17" t="str">
        <f t="array" ref="N17">INDEX(Issues[TYPE],MATCH(0,COUNTIF(N$15:N16, Issues[TYPE]),0))</f>
        <v>Type 3</v>
      </c>
      <c r="O17" t="str">
        <f t="array" ref="O17">INDEX(Issues[PRIORITY],MATCH(0,COUNTIF(O$15:O16,Issues[PRIORITY]),0))</f>
        <v>Low</v>
      </c>
      <c r="S17" t="str">
        <f t="array" aca="1" ref="S17" ca="1">INDEX(typesUnsorted, MATCH(SMALL(COUNTIF(typesUnsorted, "&lt;"&amp;typesUnsorted), ROW(2:2)), COUNTIF(typesUnsorted, "&lt;"&amp;typesUnsorted), 0))</f>
        <v>Type 1</v>
      </c>
      <c r="T17" t="str">
        <f t="array" aca="1" ref="T17" ca="1">INDEX(prioritiesUnsorted, MATCH(SMALL(COUNTIF(prioritiesUnsorted, "&lt;"&amp;prioritiesUnsorted), ROW(2:2)), COUNTIF(prioritiesUnsorted, "&lt;"&amp;prioritiesUnsorted), 0))</f>
        <v>High</v>
      </c>
    </row>
    <row r="18" spans="7:20" x14ac:dyDescent="0.25">
      <c r="G18">
        <v>3</v>
      </c>
      <c r="H18" s="1">
        <f t="shared" si="0"/>
        <v>3</v>
      </c>
      <c r="I18">
        <f ca="1">I17+COUNTIFS(Issues[OPENED ON],H18,Issues[TYPE],type,Issues[PRIORITY],priority)</f>
        <v>0</v>
      </c>
      <c r="J18">
        <f ca="1">J17+COUNTIFS(Issues[CLOSED ON],H18,Issues[TYPE],type,Issues[PRIORITY],priority)</f>
        <v>0</v>
      </c>
      <c r="N18" t="str">
        <f t="array" ref="N18">INDEX(Issues[TYPE],MATCH(0,COUNTIF(N$15:N17, Issues[TYPE]),0))</f>
        <v>Type 1</v>
      </c>
      <c r="O18" t="str">
        <f t="array" ref="O18">INDEX(Issues[PRIORITY],MATCH(0,COUNTIF(O$15:O17,Issues[PRIORITY]),0))</f>
        <v>High</v>
      </c>
      <c r="S18" t="str">
        <f t="array" aca="1" ref="S18" ca="1">INDEX(typesUnsorted, MATCH(SMALL(COUNTIF(typesUnsorted, "&lt;"&amp;typesUnsorted), ROW(3:3)), COUNTIF(typesUnsorted, "&lt;"&amp;typesUnsorted), 0))</f>
        <v>Type 2</v>
      </c>
      <c r="T18" t="str">
        <f t="array" aca="1" ref="T18" ca="1">INDEX(prioritiesUnsorted, MATCH(SMALL(COUNTIF(prioritiesUnsorted, "&lt;"&amp;prioritiesUnsorted), ROW(3:3)), COUNTIF(prioritiesUnsorted, "&lt;"&amp;prioritiesUnsorted), 0))</f>
        <v>Low</v>
      </c>
    </row>
    <row r="19" spans="7:20" x14ac:dyDescent="0.25">
      <c r="G19">
        <v>4</v>
      </c>
      <c r="H19" s="1">
        <f t="shared" si="0"/>
        <v>4</v>
      </c>
      <c r="I19">
        <f ca="1">I18+COUNTIFS(Issues[OPENED ON],H19,Issues[TYPE],type,Issues[PRIORITY],priority)</f>
        <v>0</v>
      </c>
      <c r="J19">
        <f ca="1">J18+COUNTIFS(Issues[CLOSED ON],H19,Issues[TYPE],type,Issues[PRIORITY],priority)</f>
        <v>0</v>
      </c>
      <c r="N19" t="str">
        <f t="array" ref="N19">INDEX(Issues[TYPE],MATCH(0,COUNTIF(N$15:N18, Issues[TYPE]),0))</f>
        <v>Type 4</v>
      </c>
      <c r="O19" t="e">
        <f t="array" ref="O19">INDEX(Issues[PRIORITY],MATCH(0,COUNTIF(O$15:O18,Issues[PRIORITY]),0))</f>
        <v>#N/A</v>
      </c>
      <c r="S19" t="str">
        <f t="array" aca="1" ref="S19" ca="1">INDEX(typesUnsorted, MATCH(SMALL(COUNTIF(typesUnsorted, "&lt;"&amp;typesUnsorted), ROW(4:4)), COUNTIF(typesUnsorted, "&lt;"&amp;typesUnsorted), 0))</f>
        <v>Type 3</v>
      </c>
      <c r="T19" t="str">
        <f t="array" aca="1" ref="T19" ca="1">INDEX(prioritiesUnsorted, MATCH(SMALL(COUNTIF(prioritiesUnsorted, "&lt;"&amp;prioritiesUnsorted), ROW(4:4)), COUNTIF(prioritiesUnsorted, "&lt;"&amp;prioritiesUnsorted), 0))</f>
        <v>Medium</v>
      </c>
    </row>
    <row r="20" spans="7:20" x14ac:dyDescent="0.25">
      <c r="G20">
        <v>5</v>
      </c>
      <c r="H20" s="1">
        <f t="shared" si="0"/>
        <v>5</v>
      </c>
      <c r="I20">
        <f ca="1">I19+COUNTIFS(Issues[OPENED ON],H20,Issues[TYPE],type,Issues[PRIORITY],priority)</f>
        <v>0</v>
      </c>
      <c r="J20">
        <f ca="1">J19+COUNTIFS(Issues[CLOSED ON],H20,Issues[TYPE],type,Issues[PRIORITY],priority)</f>
        <v>0</v>
      </c>
      <c r="N20" t="e">
        <f t="array" ref="N20">INDEX(Issues[TYPE],MATCH(0,COUNTIF(N$15:N19, Issues[TYPE]),0))</f>
        <v>#N/A</v>
      </c>
      <c r="O20" t="e">
        <f t="array" ref="O20">INDEX(Issues[PRIORITY],MATCH(0,COUNTIF(O$15:O19,Issues[PRIORITY]),0))</f>
        <v>#N/A</v>
      </c>
      <c r="S20" t="str">
        <f t="array" aca="1" ref="S20" ca="1">INDEX(typesUnsorted, MATCH(SMALL(COUNTIF(typesUnsorted, "&lt;"&amp;typesUnsorted), ROW(5:5)), COUNTIF(typesUnsorted, "&lt;"&amp;typesUnsorted), 0))</f>
        <v>Type 4</v>
      </c>
      <c r="T20" t="e">
        <f t="array" aca="1" ref="T20" ca="1">INDEX(prioritiesUnsorted, MATCH(SMALL(COUNTIF(prioritiesUnsorted, "&lt;"&amp;prioritiesUnsorted), ROW(5:5)), COUNTIF(prioritiesUnsorted, "&lt;"&amp;prioritiesUnsorted), 0))</f>
        <v>#NUM!</v>
      </c>
    </row>
    <row r="21" spans="7:20" x14ac:dyDescent="0.25">
      <c r="G21">
        <v>6</v>
      </c>
      <c r="H21" s="1">
        <f t="shared" si="0"/>
        <v>6</v>
      </c>
      <c r="I21">
        <f ca="1">I20+COUNTIFS(Issues[OPENED ON],H21,Issues[TYPE],type,Issues[PRIORITY],priority)</f>
        <v>0</v>
      </c>
      <c r="J21">
        <f ca="1">J20+COUNTIFS(Issues[CLOSED ON],H21,Issues[TYPE],type,Issues[PRIORITY],priority)</f>
        <v>0</v>
      </c>
      <c r="N21" t="e">
        <f t="array" ref="N21">INDEX(Issues[TYPE],MATCH(0,COUNTIF(N$15:N20, Issues[TYPE]),0))</f>
        <v>#N/A</v>
      </c>
      <c r="O21" t="e">
        <f t="array" ref="O21">INDEX(Issues[PRIORITY],MATCH(0,COUNTIF(O$15:O20,Issues[PRIORITY]),0))</f>
        <v>#N/A</v>
      </c>
      <c r="S21" t="e">
        <f t="array" aca="1" ref="S21" ca="1">INDEX(typesUnsorted, MATCH(SMALL(COUNTIF(typesUnsorted, "&lt;"&amp;typesUnsorted), ROW(6:6)), COUNTIF(typesUnsorted, "&lt;"&amp;typesUnsorted), 0))</f>
        <v>#NUM!</v>
      </c>
      <c r="T21" t="e">
        <f t="array" aca="1" ref="T21" ca="1">INDEX(prioritiesUnsorted, MATCH(SMALL(COUNTIF(prioritiesUnsorted, "&lt;"&amp;prioritiesUnsorted), ROW(6:6)), COUNTIF(prioritiesUnsorted, "&lt;"&amp;prioritiesUnsorted), 0))</f>
        <v>#NUM!</v>
      </c>
    </row>
    <row r="22" spans="7:20" x14ac:dyDescent="0.25">
      <c r="G22">
        <v>7</v>
      </c>
      <c r="H22" s="1">
        <f t="shared" si="0"/>
        <v>7</v>
      </c>
      <c r="I22">
        <f ca="1">I21+COUNTIFS(Issues[OPENED ON],H22,Issues[TYPE],type,Issues[PRIORITY],priority)</f>
        <v>0</v>
      </c>
      <c r="J22">
        <f ca="1">J21+COUNTIFS(Issues[CLOSED ON],H22,Issues[TYPE],type,Issues[PRIORITY],priority)</f>
        <v>0</v>
      </c>
      <c r="N22" t="e">
        <f t="array" ref="N22">INDEX(Issues[TYPE],MATCH(0,COUNTIF(N$15:N21, Issues[TYPE]),0))</f>
        <v>#N/A</v>
      </c>
      <c r="O22" t="e">
        <f t="array" ref="O22">INDEX(Issues[PRIORITY],MATCH(0,COUNTIF(O$15:O21,Issues[PRIORITY]),0))</f>
        <v>#N/A</v>
      </c>
      <c r="S22" t="e">
        <f t="array" aca="1" ref="S22" ca="1">INDEX(typesUnsorted, MATCH(SMALL(COUNTIF(typesUnsorted, "&lt;"&amp;typesUnsorted), ROW(7:7)), COUNTIF(typesUnsorted, "&lt;"&amp;typesUnsorted), 0))</f>
        <v>#NUM!</v>
      </c>
      <c r="T22" t="e">
        <f t="array" aca="1" ref="T22" ca="1">INDEX(prioritiesUnsorted, MATCH(SMALL(COUNTIF(prioritiesUnsorted, "&lt;"&amp;prioritiesUnsorted), ROW(7:7)), COUNTIF(prioritiesUnsorted, "&lt;"&amp;prioritiesUnsorted), 0))</f>
        <v>#NUM!</v>
      </c>
    </row>
    <row r="23" spans="7:20" x14ac:dyDescent="0.25">
      <c r="G23">
        <v>8</v>
      </c>
      <c r="H23" s="1">
        <f t="shared" si="0"/>
        <v>8</v>
      </c>
      <c r="I23">
        <f ca="1">I22+COUNTIFS(Issues[OPENED ON],H23,Issues[TYPE],type,Issues[PRIORITY],priority)</f>
        <v>0</v>
      </c>
      <c r="J23">
        <f ca="1">J22+COUNTIFS(Issues[CLOSED ON],H23,Issues[TYPE],type,Issues[PRIORITY],priority)</f>
        <v>0</v>
      </c>
      <c r="N23" t="e">
        <f t="array" ref="N23">INDEX(Issues[TYPE],MATCH(0,COUNTIF(N$15:N22, Issues[TYPE]),0))</f>
        <v>#N/A</v>
      </c>
      <c r="O23" t="e">
        <f t="array" ref="O23">INDEX(Issues[PRIORITY],MATCH(0,COUNTIF(O$15:O22,Issues[PRIORITY]),0))</f>
        <v>#N/A</v>
      </c>
      <c r="S23" t="e">
        <f t="array" aca="1" ref="S23" ca="1">INDEX(typesUnsorted, MATCH(SMALL(COUNTIF(typesUnsorted, "&lt;"&amp;typesUnsorted), ROW(8:8)), COUNTIF(typesUnsorted, "&lt;"&amp;typesUnsorted), 0))</f>
        <v>#NUM!</v>
      </c>
      <c r="T23" t="e">
        <f t="array" aca="1" ref="T23" ca="1">INDEX(prioritiesUnsorted, MATCH(SMALL(COUNTIF(prioritiesUnsorted, "&lt;"&amp;prioritiesUnsorted), ROW(8:8)), COUNTIF(prioritiesUnsorted, "&lt;"&amp;prioritiesUnsorted), 0))</f>
        <v>#NUM!</v>
      </c>
    </row>
    <row r="24" spans="7:20" x14ac:dyDescent="0.25">
      <c r="G24">
        <v>9</v>
      </c>
      <c r="H24" s="1">
        <f t="shared" si="0"/>
        <v>9</v>
      </c>
      <c r="I24">
        <f ca="1">I23+COUNTIFS(Issues[OPENED ON],H24,Issues[TYPE],type,Issues[PRIORITY],priority)</f>
        <v>0</v>
      </c>
      <c r="J24">
        <f ca="1">J23+COUNTIFS(Issues[CLOSED ON],H24,Issues[TYPE],type,Issues[PRIORITY],priority)</f>
        <v>0</v>
      </c>
      <c r="N24" t="e">
        <f t="array" ref="N24">INDEX(Issues[TYPE],MATCH(0,COUNTIF(N$15:N23, Issues[TYPE]),0))</f>
        <v>#N/A</v>
      </c>
      <c r="O24" t="e">
        <f t="array" ref="O24">INDEX(Issues[PRIORITY],MATCH(0,COUNTIF(O$15:O23,Issues[PRIORITY]),0))</f>
        <v>#N/A</v>
      </c>
      <c r="S24" t="e">
        <f t="array" aca="1" ref="S24" ca="1">INDEX(typesUnsorted, MATCH(SMALL(COUNTIF(typesUnsorted, "&lt;"&amp;typesUnsorted), ROW(9:9)), COUNTIF(typesUnsorted, "&lt;"&amp;typesUnsorted), 0))</f>
        <v>#NUM!</v>
      </c>
      <c r="T24" t="e">
        <f t="array" aca="1" ref="T24" ca="1">INDEX(prioritiesUnsorted, MATCH(SMALL(COUNTIF(prioritiesUnsorted, "&lt;"&amp;prioritiesUnsorted), ROW(9:9)), COUNTIF(prioritiesUnsorted, "&lt;"&amp;prioritiesUnsorted), 0))</f>
        <v>#NUM!</v>
      </c>
    </row>
    <row r="25" spans="7:20" x14ac:dyDescent="0.25">
      <c r="G25">
        <v>10</v>
      </c>
      <c r="H25" s="1">
        <f t="shared" si="0"/>
        <v>10</v>
      </c>
      <c r="I25">
        <f ca="1">I24+COUNTIFS(Issues[OPENED ON],H25,Issues[TYPE],type,Issues[PRIORITY],priority)</f>
        <v>0</v>
      </c>
      <c r="J25">
        <f ca="1">J24+COUNTIFS(Issues[CLOSED ON],H25,Issues[TYPE],type,Issues[PRIORITY],priority)</f>
        <v>0</v>
      </c>
      <c r="N25" t="e">
        <f t="array" ref="N25">INDEX(Issues[TYPE],MATCH(0,COUNTIF(N$15:N24, Issues[TYPE]),0))</f>
        <v>#N/A</v>
      </c>
      <c r="O25" t="e">
        <f t="array" ref="O25">INDEX(Issues[PRIORITY],MATCH(0,COUNTIF(O$15:O24,Issues[PRIORITY]),0))</f>
        <v>#N/A</v>
      </c>
      <c r="S25" t="e">
        <f t="array" aca="1" ref="S25" ca="1">INDEX(typesUnsorted, MATCH(SMALL(COUNTIF(typesUnsorted, "&lt;"&amp;typesUnsorted), ROW(10:10)), COUNTIF(typesUnsorted, "&lt;"&amp;typesUnsorted), 0))</f>
        <v>#NUM!</v>
      </c>
      <c r="T25" t="e">
        <f t="array" aca="1" ref="T25" ca="1">INDEX(prioritiesUnsorted, MATCH(SMALL(COUNTIF(prioritiesUnsorted, "&lt;"&amp;prioritiesUnsorted), ROW(10:10)), COUNTIF(prioritiesUnsorted, "&lt;"&amp;prioritiesUnsorted), 0))</f>
        <v>#NUM!</v>
      </c>
    </row>
    <row r="26" spans="7:20" x14ac:dyDescent="0.25">
      <c r="G26">
        <v>11</v>
      </c>
      <c r="H26" s="1">
        <f t="shared" si="0"/>
        <v>11</v>
      </c>
      <c r="I26">
        <f ca="1">I25+COUNTIFS(Issues[OPENED ON],H26,Issues[TYPE],type,Issues[PRIORITY],priority)</f>
        <v>0</v>
      </c>
      <c r="J26">
        <f ca="1">J25+COUNTIFS(Issues[CLOSED ON],H26,Issues[TYPE],type,Issues[PRIORITY],priority)</f>
        <v>0</v>
      </c>
      <c r="N26" t="e">
        <f t="array" ref="N26">INDEX(Issues[TYPE],MATCH(0,COUNTIF(N$15:N25, Issues[TYPE]),0))</f>
        <v>#N/A</v>
      </c>
      <c r="O26" t="e">
        <f t="array" ref="O26">INDEX(Issues[PRIORITY],MATCH(0,COUNTIF(O$15:O25,Issues[PRIORITY]),0))</f>
        <v>#N/A</v>
      </c>
      <c r="S26" t="e">
        <f t="array" aca="1" ref="S26" ca="1">INDEX(typesUnsorted, MATCH(SMALL(COUNTIF(typesUnsorted, "&lt;"&amp;typesUnsorted), ROW(11:11)), COUNTIF(typesUnsorted, "&lt;"&amp;typesUnsorted), 0))</f>
        <v>#NUM!</v>
      </c>
      <c r="T26" t="e">
        <f t="array" aca="1" ref="T26" ca="1">INDEX(prioritiesUnsorted, MATCH(SMALL(COUNTIF(prioritiesUnsorted, "&lt;"&amp;prioritiesUnsorted), ROW(11:11)), COUNTIF(prioritiesUnsorted, "&lt;"&amp;prioritiesUnsorted), 0))</f>
        <v>#NUM!</v>
      </c>
    </row>
    <row r="27" spans="7:20" x14ac:dyDescent="0.25">
      <c r="G27">
        <v>12</v>
      </c>
      <c r="H27" s="1">
        <f t="shared" si="0"/>
        <v>12</v>
      </c>
      <c r="I27">
        <f ca="1">I26+COUNTIFS(Issues[OPENED ON],H27,Issues[TYPE],type,Issues[PRIORITY],priority)</f>
        <v>0</v>
      </c>
      <c r="J27">
        <f ca="1">J26+COUNTIFS(Issues[CLOSED ON],H27,Issues[TYPE],type,Issues[PRIORITY],priority)</f>
        <v>0</v>
      </c>
      <c r="N27" t="e">
        <f t="array" ref="N27">INDEX(Issues[TYPE],MATCH(0,COUNTIF(N$15:N26, Issues[TYPE]),0))</f>
        <v>#N/A</v>
      </c>
      <c r="O27" t="e">
        <f t="array" ref="O27">INDEX(Issues[PRIORITY],MATCH(0,COUNTIF(O$15:O26,Issues[PRIORITY]),0))</f>
        <v>#N/A</v>
      </c>
      <c r="S27" t="e">
        <f t="array" aca="1" ref="S27" ca="1">INDEX(typesUnsorted, MATCH(SMALL(COUNTIF(typesUnsorted, "&lt;"&amp;typesUnsorted), ROW(12:12)), COUNTIF(typesUnsorted, "&lt;"&amp;typesUnsorted), 0))</f>
        <v>#NUM!</v>
      </c>
      <c r="T27" t="e">
        <f t="array" aca="1" ref="T27" ca="1">INDEX(prioritiesUnsorted, MATCH(SMALL(COUNTIF(prioritiesUnsorted, "&lt;"&amp;prioritiesUnsorted), ROW(12:12)), COUNTIF(prioritiesUnsorted, "&lt;"&amp;prioritiesUnsorted), 0))</f>
        <v>#NUM!</v>
      </c>
    </row>
    <row r="28" spans="7:20" x14ac:dyDescent="0.25">
      <c r="G28">
        <v>13</v>
      </c>
      <c r="H28" s="1">
        <f t="shared" si="0"/>
        <v>13</v>
      </c>
      <c r="I28">
        <f ca="1">I27+COUNTIFS(Issues[OPENED ON],H28,Issues[TYPE],type,Issues[PRIORITY],priority)</f>
        <v>0</v>
      </c>
      <c r="J28">
        <f ca="1">J27+COUNTIFS(Issues[CLOSED ON],H28,Issues[TYPE],type,Issues[PRIORITY],priority)</f>
        <v>0</v>
      </c>
      <c r="N28" t="e">
        <f t="array" ref="N28">INDEX(Issues[TYPE],MATCH(0,COUNTIF(N$15:N27, Issues[TYPE]),0))</f>
        <v>#N/A</v>
      </c>
      <c r="O28" t="e">
        <f t="array" ref="O28">INDEX(Issues[PRIORITY],MATCH(0,COUNTIF(O$15:O27,Issues[PRIORITY]),0))</f>
        <v>#N/A</v>
      </c>
      <c r="S28" t="e">
        <f t="array" aca="1" ref="S28" ca="1">INDEX(typesUnsorted, MATCH(SMALL(COUNTIF(typesUnsorted, "&lt;"&amp;typesUnsorted), ROW(13:13)), COUNTIF(typesUnsorted, "&lt;"&amp;typesUnsorted), 0))</f>
        <v>#NUM!</v>
      </c>
      <c r="T28" t="e">
        <f t="array" aca="1" ref="T28" ca="1">INDEX(prioritiesUnsorted, MATCH(SMALL(COUNTIF(prioritiesUnsorted, "&lt;"&amp;prioritiesUnsorted), ROW(13:13)), COUNTIF(prioritiesUnsorted, "&lt;"&amp;prioritiesUnsorted), 0))</f>
        <v>#NUM!</v>
      </c>
    </row>
    <row r="29" spans="7:20" x14ac:dyDescent="0.25">
      <c r="G29">
        <v>14</v>
      </c>
      <c r="H29" s="1">
        <f t="shared" si="0"/>
        <v>14</v>
      </c>
      <c r="I29">
        <f ca="1">I28+COUNTIFS(Issues[OPENED ON],H29,Issues[TYPE],type,Issues[PRIORITY],priority)</f>
        <v>0</v>
      </c>
      <c r="J29">
        <f ca="1">J28+COUNTIFS(Issues[CLOSED ON],H29,Issues[TYPE],type,Issues[PRIORITY],priority)</f>
        <v>0</v>
      </c>
      <c r="N29" t="e">
        <f t="array" ref="N29">INDEX(Issues[TYPE],MATCH(0,COUNTIF(N$15:N28, Issues[TYPE]),0))</f>
        <v>#N/A</v>
      </c>
      <c r="O29" t="e">
        <f t="array" ref="O29">INDEX(Issues[PRIORITY],MATCH(0,COUNTIF(O$15:O28,Issues[PRIORITY]),0))</f>
        <v>#N/A</v>
      </c>
      <c r="S29" t="e">
        <f t="array" aca="1" ref="S29" ca="1">INDEX(typesUnsorted, MATCH(SMALL(COUNTIF(typesUnsorted, "&lt;"&amp;typesUnsorted), ROW(14:14)), COUNTIF(typesUnsorted, "&lt;"&amp;typesUnsorted), 0))</f>
        <v>#NUM!</v>
      </c>
      <c r="T29" t="e">
        <f t="array" aca="1" ref="T29" ca="1">INDEX(prioritiesUnsorted, MATCH(SMALL(COUNTIF(prioritiesUnsorted, "&lt;"&amp;prioritiesUnsorted), ROW(14:14)), COUNTIF(prioritiesUnsorted, "&lt;"&amp;prioritiesUnsorted), 0))</f>
        <v>#NUM!</v>
      </c>
    </row>
    <row r="30" spans="7:20" x14ac:dyDescent="0.25">
      <c r="G30">
        <v>15</v>
      </c>
      <c r="H30" s="1">
        <f t="shared" si="0"/>
        <v>15</v>
      </c>
      <c r="I30">
        <f ca="1">I29+COUNTIFS(Issues[OPENED ON],H30,Issues[TYPE],type,Issues[PRIORITY],priority)</f>
        <v>0</v>
      </c>
      <c r="J30">
        <f ca="1">J29+COUNTIFS(Issues[CLOSED ON],H30,Issues[TYPE],type,Issues[PRIORITY],priority)</f>
        <v>0</v>
      </c>
      <c r="N30" t="e">
        <f t="array" ref="N30">INDEX(Issues[TYPE],MATCH(0,COUNTIF(N$15:N29, Issues[TYPE]),0))</f>
        <v>#N/A</v>
      </c>
      <c r="O30" t="e">
        <f t="array" ref="O30">INDEX(Issues[PRIORITY],MATCH(0,COUNTIF(O$15:O29,Issues[PRIORITY]),0))</f>
        <v>#N/A</v>
      </c>
      <c r="S30" t="e">
        <f t="array" aca="1" ref="S30" ca="1">INDEX(typesUnsorted, MATCH(SMALL(COUNTIF(typesUnsorted, "&lt;"&amp;typesUnsorted), ROW(15:15)), COUNTIF(typesUnsorted, "&lt;"&amp;typesUnsorted), 0))</f>
        <v>#NUM!</v>
      </c>
      <c r="T30" t="e">
        <f t="array" aca="1" ref="T30" ca="1">INDEX(prioritiesUnsorted, MATCH(SMALL(COUNTIF(prioritiesUnsorted, "&lt;"&amp;prioritiesUnsorted), ROW(15:15)), COUNTIF(prioritiesUnsorted, "&lt;"&amp;prioritiesUnsorted), 0))</f>
        <v>#NUM!</v>
      </c>
    </row>
    <row r="31" spans="7:20" x14ac:dyDescent="0.25">
      <c r="G31">
        <v>16</v>
      </c>
      <c r="H31" s="1">
        <f t="shared" si="0"/>
        <v>16</v>
      </c>
      <c r="I31">
        <f ca="1">I30+COUNTIFS(Issues[OPENED ON],H31,Issues[TYPE],type,Issues[PRIORITY],priority)</f>
        <v>0</v>
      </c>
      <c r="J31">
        <f ca="1">J30+COUNTIFS(Issues[CLOSED ON],H31,Issues[TYPE],type,Issues[PRIORITY],priority)</f>
        <v>0</v>
      </c>
      <c r="N31" t="e">
        <f t="array" ref="N31">INDEX(Issues[TYPE],MATCH(0,COUNTIF(N$15:N30, Issues[TYPE]),0))</f>
        <v>#N/A</v>
      </c>
      <c r="O31" t="e">
        <f t="array" ref="O31">INDEX(Issues[PRIORITY],MATCH(0,COUNTIF(O$15:O30,Issues[PRIORITY]),0))</f>
        <v>#N/A</v>
      </c>
      <c r="S31" t="e">
        <f t="array" aca="1" ref="S31" ca="1">INDEX(typesUnsorted, MATCH(SMALL(COUNTIF(typesUnsorted, "&lt;"&amp;typesUnsorted), ROW(16:16)), COUNTIF(typesUnsorted, "&lt;"&amp;typesUnsorted), 0))</f>
        <v>#NUM!</v>
      </c>
      <c r="T31" t="e">
        <f t="array" aca="1" ref="T31" ca="1">INDEX(prioritiesUnsorted, MATCH(SMALL(COUNTIF(prioritiesUnsorted, "&lt;"&amp;prioritiesUnsorted), ROW(16:16)), COUNTIF(prioritiesUnsorted, "&lt;"&amp;prioritiesUnsorted), 0))</f>
        <v>#NUM!</v>
      </c>
    </row>
    <row r="32" spans="7:20" x14ac:dyDescent="0.25">
      <c r="G32">
        <v>17</v>
      </c>
      <c r="H32" s="1">
        <f t="shared" si="0"/>
        <v>17</v>
      </c>
      <c r="I32">
        <f ca="1">I31+COUNTIFS(Issues[OPENED ON],H32,Issues[TYPE],type,Issues[PRIORITY],priority)</f>
        <v>0</v>
      </c>
      <c r="J32">
        <f ca="1">J31+COUNTIFS(Issues[CLOSED ON],H32,Issues[TYPE],type,Issues[PRIORITY],priority)</f>
        <v>0</v>
      </c>
      <c r="N32" t="e">
        <f t="array" ref="N32">INDEX(Issues[TYPE],MATCH(0,COUNTIF(N$15:N31, Issues[TYPE]),0))</f>
        <v>#N/A</v>
      </c>
      <c r="O32" t="e">
        <f t="array" ref="O32">INDEX(Issues[PRIORITY],MATCH(0,COUNTIF(O$15:O31,Issues[PRIORITY]),0))</f>
        <v>#N/A</v>
      </c>
      <c r="S32" t="e">
        <f t="array" aca="1" ref="S32" ca="1">INDEX(typesUnsorted, MATCH(SMALL(COUNTIF(typesUnsorted, "&lt;"&amp;typesUnsorted), ROW(17:17)), COUNTIF(typesUnsorted, "&lt;"&amp;typesUnsorted), 0))</f>
        <v>#NUM!</v>
      </c>
      <c r="T32" t="e">
        <f t="array" aca="1" ref="T32" ca="1">INDEX(prioritiesUnsorted, MATCH(SMALL(COUNTIF(prioritiesUnsorted, "&lt;"&amp;prioritiesUnsorted), ROW(17:17)), COUNTIF(prioritiesUnsorted, "&lt;"&amp;prioritiesUnsorted), 0))</f>
        <v>#NUM!</v>
      </c>
    </row>
    <row r="33" spans="7:20" x14ac:dyDescent="0.25">
      <c r="G33">
        <v>18</v>
      </c>
      <c r="H33" s="1">
        <f t="shared" si="0"/>
        <v>18</v>
      </c>
      <c r="I33">
        <f ca="1">I32+COUNTIFS(Issues[OPENED ON],H33,Issues[TYPE],type,Issues[PRIORITY],priority)</f>
        <v>0</v>
      </c>
      <c r="J33">
        <f ca="1">J32+COUNTIFS(Issues[CLOSED ON],H33,Issues[TYPE],type,Issues[PRIORITY],priority)</f>
        <v>0</v>
      </c>
      <c r="N33" t="e">
        <f t="array" ref="N33">INDEX(Issues[TYPE],MATCH(0,COUNTIF(N$15:N32, Issues[TYPE]),0))</f>
        <v>#N/A</v>
      </c>
      <c r="O33" t="e">
        <f t="array" ref="O33">INDEX(Issues[PRIORITY],MATCH(0,COUNTIF(O$15:O32,Issues[PRIORITY]),0))</f>
        <v>#N/A</v>
      </c>
      <c r="S33" t="e">
        <f t="array" aca="1" ref="S33" ca="1">INDEX(typesUnsorted, MATCH(SMALL(COUNTIF(typesUnsorted, "&lt;"&amp;typesUnsorted), ROW(18:18)), COUNTIF(typesUnsorted, "&lt;"&amp;typesUnsorted), 0))</f>
        <v>#NUM!</v>
      </c>
      <c r="T33" t="e">
        <f t="array" aca="1" ref="T33" ca="1">INDEX(prioritiesUnsorted, MATCH(SMALL(COUNTIF(prioritiesUnsorted, "&lt;"&amp;prioritiesUnsorted), ROW(18:18)), COUNTIF(prioritiesUnsorted, "&lt;"&amp;prioritiesUnsorted), 0))</f>
        <v>#NUM!</v>
      </c>
    </row>
    <row r="34" spans="7:20" x14ac:dyDescent="0.25">
      <c r="G34">
        <v>19</v>
      </c>
      <c r="H34" s="1">
        <f t="shared" si="0"/>
        <v>19</v>
      </c>
      <c r="I34">
        <f ca="1">I33+COUNTIFS(Issues[OPENED ON],H34,Issues[TYPE],type,Issues[PRIORITY],priority)</f>
        <v>0</v>
      </c>
      <c r="J34">
        <f ca="1">J33+COUNTIFS(Issues[CLOSED ON],H34,Issues[TYPE],type,Issues[PRIORITY],priority)</f>
        <v>0</v>
      </c>
      <c r="N34" t="e">
        <f t="array" ref="N34">INDEX(Issues[TYPE],MATCH(0,COUNTIF(N$15:N33, Issues[TYPE]),0))</f>
        <v>#N/A</v>
      </c>
      <c r="O34" t="e">
        <f t="array" ref="O34">INDEX(Issues[PRIORITY],MATCH(0,COUNTIF(O$15:O33,Issues[PRIORITY]),0))</f>
        <v>#N/A</v>
      </c>
      <c r="S34" t="e">
        <f t="array" aca="1" ref="S34" ca="1">INDEX(typesUnsorted, MATCH(SMALL(COUNTIF(typesUnsorted, "&lt;"&amp;typesUnsorted), ROW(19:19)), COUNTIF(typesUnsorted, "&lt;"&amp;typesUnsorted), 0))</f>
        <v>#NUM!</v>
      </c>
      <c r="T34" t="e">
        <f t="array" aca="1" ref="T34" ca="1">INDEX(prioritiesUnsorted, MATCH(SMALL(COUNTIF(prioritiesUnsorted, "&lt;"&amp;prioritiesUnsorted), ROW(19:19)), COUNTIF(prioritiesUnsorted, "&lt;"&amp;prioritiesUnsorted), 0))</f>
        <v>#NUM!</v>
      </c>
    </row>
    <row r="35" spans="7:20" x14ac:dyDescent="0.25">
      <c r="G35">
        <v>20</v>
      </c>
      <c r="H35" s="1">
        <f t="shared" si="0"/>
        <v>20</v>
      </c>
      <c r="I35">
        <f ca="1">I34+COUNTIFS(Issues[OPENED ON],H35,Issues[TYPE],type,Issues[PRIORITY],priority)</f>
        <v>0</v>
      </c>
      <c r="J35">
        <f ca="1">J34+COUNTIFS(Issues[CLOSED ON],H35,Issues[TYPE],type,Issues[PRIORITY],priority)</f>
        <v>0</v>
      </c>
      <c r="N35" t="e">
        <f t="array" ref="N35">INDEX(Issues[TYPE],MATCH(0,COUNTIF(N$15:N34, Issues[TYPE]),0))</f>
        <v>#N/A</v>
      </c>
      <c r="O35" t="e">
        <f t="array" ref="O35">INDEX(Issues[PRIORITY],MATCH(0,COUNTIF(O$15:O34,Issues[PRIORITY]),0))</f>
        <v>#N/A</v>
      </c>
      <c r="S35" t="e">
        <f t="array" aca="1" ref="S35" ca="1">INDEX(typesUnsorted, MATCH(SMALL(COUNTIF(typesUnsorted, "&lt;"&amp;typesUnsorted), ROW(20:20)), COUNTIF(typesUnsorted, "&lt;"&amp;typesUnsorted), 0))</f>
        <v>#NUM!</v>
      </c>
      <c r="T35" t="e">
        <f t="array" aca="1" ref="T35" ca="1">INDEX(prioritiesUnsorted, MATCH(SMALL(COUNTIF(prioritiesUnsorted, "&lt;"&amp;prioritiesUnsorted), ROW(20:20)), COUNTIF(prioritiesUnsorted, "&lt;"&amp;prioritiesUnsorted), 0))</f>
        <v>#NUM!</v>
      </c>
    </row>
    <row r="36" spans="7:20" x14ac:dyDescent="0.25">
      <c r="G36">
        <v>21</v>
      </c>
      <c r="H36" s="1">
        <f t="shared" si="0"/>
        <v>21</v>
      </c>
      <c r="I36">
        <f ca="1">I35+COUNTIFS(Issues[OPENED ON],H36,Issues[TYPE],type,Issues[PRIORITY],priority)</f>
        <v>0</v>
      </c>
      <c r="J36">
        <f ca="1">J35+COUNTIFS(Issues[CLOSED ON],H36,Issues[TYPE],type,Issues[PRIORITY],priority)</f>
        <v>0</v>
      </c>
      <c r="N36" t="e">
        <f t="array" ref="N36">INDEX(Issues[TYPE],MATCH(0,COUNTIF(N$15:N35, Issues[TYPE]),0))</f>
        <v>#N/A</v>
      </c>
      <c r="O36" t="e">
        <f t="array" ref="O36">INDEX(Issues[PRIORITY],MATCH(0,COUNTIF(O$15:O35,Issues[PRIORITY]),0))</f>
        <v>#N/A</v>
      </c>
      <c r="S36" t="e">
        <f t="array" aca="1" ref="S36" ca="1">INDEX(typesUnsorted, MATCH(SMALL(COUNTIF(typesUnsorted, "&lt;"&amp;typesUnsorted), ROW(21:21)), COUNTIF(typesUnsorted, "&lt;"&amp;typesUnsorted), 0))</f>
        <v>#NUM!</v>
      </c>
      <c r="T36" t="e">
        <f t="array" aca="1" ref="T36" ca="1">INDEX(prioritiesUnsorted, MATCH(SMALL(COUNTIF(prioritiesUnsorted, "&lt;"&amp;prioritiesUnsorted), ROW(21:21)), COUNTIF(prioritiesUnsorted, "&lt;"&amp;prioritiesUnsorted), 0))</f>
        <v>#NUM!</v>
      </c>
    </row>
    <row r="37" spans="7:20" x14ac:dyDescent="0.25">
      <c r="G37">
        <v>22</v>
      </c>
      <c r="H37" s="1">
        <f t="shared" si="0"/>
        <v>22</v>
      </c>
      <c r="I37">
        <f ca="1">I36+COUNTIFS(Issues[OPENED ON],H37,Issues[TYPE],type,Issues[PRIORITY],priority)</f>
        <v>0</v>
      </c>
      <c r="J37">
        <f ca="1">J36+COUNTIFS(Issues[CLOSED ON],H37,Issues[TYPE],type,Issues[PRIORITY],priority)</f>
        <v>0</v>
      </c>
      <c r="N37" t="e">
        <f t="array" ref="N37">INDEX(Issues[TYPE],MATCH(0,COUNTIF(N$15:N36, Issues[TYPE]),0))</f>
        <v>#N/A</v>
      </c>
      <c r="O37" t="e">
        <f t="array" ref="O37">INDEX(Issues[PRIORITY],MATCH(0,COUNTIF(O$15:O36,Issues[PRIORITY]),0))</f>
        <v>#N/A</v>
      </c>
      <c r="S37" t="e">
        <f t="array" aca="1" ref="S37" ca="1">INDEX(typesUnsorted, MATCH(SMALL(COUNTIF(typesUnsorted, "&lt;"&amp;typesUnsorted), ROW(22:22)), COUNTIF(typesUnsorted, "&lt;"&amp;typesUnsorted), 0))</f>
        <v>#NUM!</v>
      </c>
      <c r="T37" t="e">
        <f t="array" aca="1" ref="T37" ca="1">INDEX(prioritiesUnsorted, MATCH(SMALL(COUNTIF(prioritiesUnsorted, "&lt;"&amp;prioritiesUnsorted), ROW(22:22)), COUNTIF(prioritiesUnsorted, "&lt;"&amp;prioritiesUnsorted), 0))</f>
        <v>#NUM!</v>
      </c>
    </row>
    <row r="38" spans="7:20" x14ac:dyDescent="0.25">
      <c r="G38">
        <v>23</v>
      </c>
      <c r="H38" s="1">
        <f t="shared" si="0"/>
        <v>23</v>
      </c>
      <c r="I38">
        <f ca="1">I37+COUNTIFS(Issues[OPENED ON],H38,Issues[TYPE],type,Issues[PRIORITY],priority)</f>
        <v>0</v>
      </c>
      <c r="J38">
        <f ca="1">J37+COUNTIFS(Issues[CLOSED ON],H38,Issues[TYPE],type,Issues[PRIORITY],priority)</f>
        <v>0</v>
      </c>
      <c r="N38" t="e">
        <f t="array" ref="N38">INDEX(Issues[TYPE],MATCH(0,COUNTIF(N$15:N37, Issues[TYPE]),0))</f>
        <v>#N/A</v>
      </c>
      <c r="O38" t="e">
        <f t="array" ref="O38">INDEX(Issues[PRIORITY],MATCH(0,COUNTIF(O$15:O37,Issues[PRIORITY]),0))</f>
        <v>#N/A</v>
      </c>
      <c r="S38" t="e">
        <f t="array" aca="1" ref="S38" ca="1">INDEX(typesUnsorted, MATCH(SMALL(COUNTIF(typesUnsorted, "&lt;"&amp;typesUnsorted), ROW(23:23)), COUNTIF(typesUnsorted, "&lt;"&amp;typesUnsorted), 0))</f>
        <v>#NUM!</v>
      </c>
      <c r="T38" t="e">
        <f t="array" aca="1" ref="T38" ca="1">INDEX(prioritiesUnsorted, MATCH(SMALL(COUNTIF(prioritiesUnsorted, "&lt;"&amp;prioritiesUnsorted), ROW(23:23)), COUNTIF(prioritiesUnsorted, "&lt;"&amp;prioritiesUnsorted), 0))</f>
        <v>#NUM!</v>
      </c>
    </row>
    <row r="39" spans="7:20" x14ac:dyDescent="0.25">
      <c r="G39">
        <v>24</v>
      </c>
      <c r="H39" s="1">
        <f t="shared" si="0"/>
        <v>24</v>
      </c>
      <c r="I39">
        <f ca="1">I38+COUNTIFS(Issues[OPENED ON],H39,Issues[TYPE],type,Issues[PRIORITY],priority)</f>
        <v>0</v>
      </c>
      <c r="J39">
        <f ca="1">J38+COUNTIFS(Issues[CLOSED ON],H39,Issues[TYPE],type,Issues[PRIORITY],priority)</f>
        <v>0</v>
      </c>
      <c r="N39" t="e">
        <f t="array" ref="N39">INDEX(Issues[TYPE],MATCH(0,COUNTIF(N$15:N38, Issues[TYPE]),0))</f>
        <v>#N/A</v>
      </c>
      <c r="O39" t="e">
        <f t="array" ref="O39">INDEX(Issues[PRIORITY],MATCH(0,COUNTIF(O$15:O38,Issues[PRIORITY]),0))</f>
        <v>#N/A</v>
      </c>
      <c r="S39" t="e">
        <f t="array" aca="1" ref="S39" ca="1">INDEX(typesUnsorted, MATCH(SMALL(COUNTIF(typesUnsorted, "&lt;"&amp;typesUnsorted), ROW(24:24)), COUNTIF(typesUnsorted, "&lt;"&amp;typesUnsorted), 0))</f>
        <v>#NUM!</v>
      </c>
      <c r="T39" t="e">
        <f t="array" aca="1" ref="T39" ca="1">INDEX(prioritiesUnsorted, MATCH(SMALL(COUNTIF(prioritiesUnsorted, "&lt;"&amp;prioritiesUnsorted), ROW(24:24)), COUNTIF(prioritiesUnsorted, "&lt;"&amp;prioritiesUnsorted), 0))</f>
        <v>#NUM!</v>
      </c>
    </row>
    <row r="40" spans="7:20" x14ac:dyDescent="0.25">
      <c r="G40">
        <v>25</v>
      </c>
      <c r="H40" s="1">
        <f t="shared" si="0"/>
        <v>25</v>
      </c>
      <c r="I40">
        <f ca="1">I39+COUNTIFS(Issues[OPENED ON],H40,Issues[TYPE],type,Issues[PRIORITY],priority)</f>
        <v>0</v>
      </c>
      <c r="J40">
        <f ca="1">J39+COUNTIFS(Issues[CLOSED ON],H40,Issues[TYPE],type,Issues[PRIORITY],priority)</f>
        <v>0</v>
      </c>
      <c r="N40" t="e">
        <f t="array" ref="N40">INDEX(Issues[TYPE],MATCH(0,COUNTIF(N$15:N39, Issues[TYPE]),0))</f>
        <v>#N/A</v>
      </c>
      <c r="O40" t="e">
        <f t="array" ref="O40">INDEX(Issues[PRIORITY],MATCH(0,COUNTIF(O$15:O39,Issues[PRIORITY]),0))</f>
        <v>#N/A</v>
      </c>
      <c r="S40" t="e">
        <f t="array" aca="1" ref="S40" ca="1">INDEX(typesUnsorted, MATCH(SMALL(COUNTIF(typesUnsorted, "&lt;"&amp;typesUnsorted), ROW(25:25)), COUNTIF(typesUnsorted, "&lt;"&amp;typesUnsorted), 0))</f>
        <v>#NUM!</v>
      </c>
      <c r="T40" t="e">
        <f t="array" aca="1" ref="T40" ca="1">INDEX(prioritiesUnsorted, MATCH(SMALL(COUNTIF(prioritiesUnsorted, "&lt;"&amp;prioritiesUnsorted), ROW(25:25)), COUNTIF(prioritiesUnsorted, "&lt;"&amp;prioritiesUnsorted), 0))</f>
        <v>#NUM!</v>
      </c>
    </row>
    <row r="41" spans="7:20" x14ac:dyDescent="0.25">
      <c r="G41">
        <v>26</v>
      </c>
      <c r="H41" s="1">
        <f t="shared" si="0"/>
        <v>26</v>
      </c>
      <c r="I41">
        <f ca="1">I40+COUNTIFS(Issues[OPENED ON],H41,Issues[TYPE],type,Issues[PRIORITY],priority)</f>
        <v>0</v>
      </c>
      <c r="J41">
        <f ca="1">J40+COUNTIFS(Issues[CLOSED ON],H41,Issues[TYPE],type,Issues[PRIORITY],priority)</f>
        <v>0</v>
      </c>
      <c r="N41" t="e">
        <f t="array" ref="N41">INDEX(Issues[TYPE],MATCH(0,COUNTIF(N$15:N40, Issues[TYPE]),0))</f>
        <v>#N/A</v>
      </c>
      <c r="O41" t="e">
        <f t="array" ref="O41">INDEX(Issues[PRIORITY],MATCH(0,COUNTIF(O$15:O40,Issues[PRIORITY]),0))</f>
        <v>#N/A</v>
      </c>
      <c r="S41" t="e">
        <f t="array" aca="1" ref="S41" ca="1">INDEX(typesUnsorted, MATCH(SMALL(COUNTIF(typesUnsorted, "&lt;"&amp;typesUnsorted), ROW(26:26)), COUNTIF(typesUnsorted, "&lt;"&amp;typesUnsorted), 0))</f>
        <v>#NUM!</v>
      </c>
      <c r="T41" t="e">
        <f t="array" aca="1" ref="T41" ca="1">INDEX(prioritiesUnsorted, MATCH(SMALL(COUNTIF(prioritiesUnsorted, "&lt;"&amp;prioritiesUnsorted), ROW(26:26)), COUNTIF(prioritiesUnsorted, "&lt;"&amp;prioritiesUnsorted), 0))</f>
        <v>#NUM!</v>
      </c>
    </row>
    <row r="42" spans="7:20" x14ac:dyDescent="0.25">
      <c r="G42">
        <v>27</v>
      </c>
      <c r="H42" s="1">
        <f t="shared" si="0"/>
        <v>27</v>
      </c>
      <c r="I42">
        <f ca="1">I41+COUNTIFS(Issues[OPENED ON],H42,Issues[TYPE],type,Issues[PRIORITY],priority)</f>
        <v>0</v>
      </c>
      <c r="J42">
        <f ca="1">J41+COUNTIFS(Issues[CLOSED ON],H42,Issues[TYPE],type,Issues[PRIORITY],priority)</f>
        <v>0</v>
      </c>
      <c r="N42" t="e">
        <f t="array" ref="N42">INDEX(Issues[TYPE],MATCH(0,COUNTIF(N$15:N41, Issues[TYPE]),0))</f>
        <v>#N/A</v>
      </c>
      <c r="O42" t="e">
        <f t="array" ref="O42">INDEX(Issues[PRIORITY],MATCH(0,COUNTIF(O$15:O41,Issues[PRIORITY]),0))</f>
        <v>#N/A</v>
      </c>
      <c r="S42" t="e">
        <f t="array" aca="1" ref="S42" ca="1">INDEX(typesUnsorted, MATCH(SMALL(COUNTIF(typesUnsorted, "&lt;"&amp;typesUnsorted), ROW(27:27)), COUNTIF(typesUnsorted, "&lt;"&amp;typesUnsorted), 0))</f>
        <v>#NUM!</v>
      </c>
      <c r="T42" t="e">
        <f t="array" aca="1" ref="T42" ca="1">INDEX(prioritiesUnsorted, MATCH(SMALL(COUNTIF(prioritiesUnsorted, "&lt;"&amp;prioritiesUnsorted), ROW(27:27)), COUNTIF(prioritiesUnsorted, "&lt;"&amp;prioritiesUnsorted), 0))</f>
        <v>#NUM!</v>
      </c>
    </row>
    <row r="43" spans="7:20" x14ac:dyDescent="0.25">
      <c r="G43">
        <v>28</v>
      </c>
      <c r="H43" s="1">
        <f t="shared" si="0"/>
        <v>28</v>
      </c>
      <c r="I43">
        <f ca="1">I42+COUNTIFS(Issues[OPENED ON],H43,Issues[TYPE],type,Issues[PRIORITY],priority)</f>
        <v>0</v>
      </c>
      <c r="J43">
        <f ca="1">J42+COUNTIFS(Issues[CLOSED ON],H43,Issues[TYPE],type,Issues[PRIORITY],priority)</f>
        <v>0</v>
      </c>
      <c r="N43" t="e">
        <f t="array" ref="N43">INDEX(Issues[TYPE],MATCH(0,COUNTIF(N$15:N42, Issues[TYPE]),0))</f>
        <v>#N/A</v>
      </c>
      <c r="O43" t="e">
        <f t="array" ref="O43">INDEX(Issues[PRIORITY],MATCH(0,COUNTIF(O$15:O42,Issues[PRIORITY]),0))</f>
        <v>#N/A</v>
      </c>
      <c r="S43" t="e">
        <f t="array" aca="1" ref="S43" ca="1">INDEX(typesUnsorted, MATCH(SMALL(COUNTIF(typesUnsorted, "&lt;"&amp;typesUnsorted), ROW(28:28)), COUNTIF(typesUnsorted, "&lt;"&amp;typesUnsorted), 0))</f>
        <v>#NUM!</v>
      </c>
      <c r="T43" t="e">
        <f t="array" aca="1" ref="T43" ca="1">INDEX(prioritiesUnsorted, MATCH(SMALL(COUNTIF(prioritiesUnsorted, "&lt;"&amp;prioritiesUnsorted), ROW(28:28)), COUNTIF(prioritiesUnsorted, "&lt;"&amp;prioritiesUnsorted), 0))</f>
        <v>#NUM!</v>
      </c>
    </row>
    <row r="44" spans="7:20" x14ac:dyDescent="0.25">
      <c r="G44">
        <v>29</v>
      </c>
      <c r="H44" s="1">
        <f t="shared" si="0"/>
        <v>29</v>
      </c>
      <c r="I44">
        <f ca="1">I43+COUNTIFS(Issues[OPENED ON],H44,Issues[TYPE],type,Issues[PRIORITY],priority)</f>
        <v>0</v>
      </c>
      <c r="J44">
        <f ca="1">J43+COUNTIFS(Issues[CLOSED ON],H44,Issues[TYPE],type,Issues[PRIORITY],priority)</f>
        <v>0</v>
      </c>
      <c r="N44" t="e">
        <f t="array" ref="N44">INDEX(Issues[TYPE],MATCH(0,COUNTIF(N$15:N43, Issues[TYPE]),0))</f>
        <v>#N/A</v>
      </c>
      <c r="O44" t="e">
        <f t="array" ref="O44">INDEX(Issues[PRIORITY],MATCH(0,COUNTIF(O$15:O43,Issues[PRIORITY]),0))</f>
        <v>#N/A</v>
      </c>
      <c r="S44" t="e">
        <f t="array" aca="1" ref="S44" ca="1">INDEX(typesUnsorted, MATCH(SMALL(COUNTIF(typesUnsorted, "&lt;"&amp;typesUnsorted), ROW(29:29)), COUNTIF(typesUnsorted, "&lt;"&amp;typesUnsorted), 0))</f>
        <v>#NUM!</v>
      </c>
      <c r="T44" t="e">
        <f t="array" aca="1" ref="T44" ca="1">INDEX(prioritiesUnsorted, MATCH(SMALL(COUNTIF(prioritiesUnsorted, "&lt;"&amp;prioritiesUnsorted), ROW(29:29)), COUNTIF(prioritiesUnsorted, "&lt;"&amp;prioritiesUnsorted), 0))</f>
        <v>#NUM!</v>
      </c>
    </row>
    <row r="45" spans="7:20" x14ac:dyDescent="0.25">
      <c r="G45">
        <v>30</v>
      </c>
      <c r="H45" s="1">
        <f t="shared" si="0"/>
        <v>30</v>
      </c>
      <c r="I45">
        <f ca="1">I44+COUNTIFS(Issues[OPENED ON],H45,Issues[TYPE],type,Issues[PRIORITY],priority)</f>
        <v>0</v>
      </c>
      <c r="J45">
        <f ca="1">J44+COUNTIFS(Issues[CLOSED ON],H45,Issues[TYPE],type,Issues[PRIORITY],priority)</f>
        <v>0</v>
      </c>
      <c r="N45" t="e">
        <f t="array" ref="N45">INDEX(Issues[TYPE],MATCH(0,COUNTIF(N$15:N44, Issues[TYPE]),0))</f>
        <v>#N/A</v>
      </c>
      <c r="O45" t="e">
        <f t="array" ref="O45">INDEX(Issues[PRIORITY],MATCH(0,COUNTIF(O$15:O44,Issues[PRIORITY]),0))</f>
        <v>#N/A</v>
      </c>
      <c r="S45" t="e">
        <f t="array" aca="1" ref="S45" ca="1">INDEX(typesUnsorted, MATCH(SMALL(COUNTIF(typesUnsorted, "&lt;"&amp;typesUnsorted), ROW(30:30)), COUNTIF(typesUnsorted, "&lt;"&amp;typesUnsorted), 0))</f>
        <v>#NUM!</v>
      </c>
      <c r="T45" t="e">
        <f t="array" aca="1" ref="T45" ca="1">INDEX(prioritiesUnsorted, MATCH(SMALL(COUNTIF(prioritiesUnsorted, "&lt;"&amp;prioritiesUnsorted), ROW(30:30)), COUNTIF(prioritiesUnsorted, "&lt;"&amp;prioritiesUnsorted), 0))</f>
        <v>#NUM!</v>
      </c>
    </row>
    <row r="46" spans="7:20" x14ac:dyDescent="0.25">
      <c r="G46">
        <v>31</v>
      </c>
      <c r="H46" s="1">
        <f t="shared" si="0"/>
        <v>31</v>
      </c>
      <c r="I46">
        <f ca="1">I45+COUNTIFS(Issues[OPENED ON],H46,Issues[TYPE],type,Issues[PRIORITY],priority)</f>
        <v>0</v>
      </c>
      <c r="J46">
        <f ca="1">J45+COUNTIFS(Issues[CLOSED ON],H46,Issues[TYPE],type,Issues[PRIORITY],priority)</f>
        <v>0</v>
      </c>
    </row>
    <row r="47" spans="7:20" x14ac:dyDescent="0.25">
      <c r="G47">
        <v>32</v>
      </c>
      <c r="H47" s="1">
        <f t="shared" si="0"/>
        <v>32</v>
      </c>
      <c r="I47">
        <f ca="1">I46+COUNTIFS(Issues[OPENED ON],H47,Issues[TYPE],type,Issues[PRIORITY],priority)</f>
        <v>0</v>
      </c>
      <c r="J47">
        <f ca="1">J46+COUNTIFS(Issues[CLOSED ON],H47,Issues[TYPE],type,Issues[PRIORITY],priority)</f>
        <v>0</v>
      </c>
    </row>
    <row r="48" spans="7:20" x14ac:dyDescent="0.25">
      <c r="G48">
        <v>33</v>
      </c>
      <c r="H48" s="1">
        <f t="shared" ref="H48:H79" si="1">keydate-days+G48</f>
        <v>33</v>
      </c>
      <c r="I48">
        <f ca="1">I47+COUNTIFS(Issues[OPENED ON],H48,Issues[TYPE],type,Issues[PRIORITY],priority)</f>
        <v>0</v>
      </c>
      <c r="J48">
        <f ca="1">J47+COUNTIFS(Issues[CLOSED ON],H48,Issues[TYPE],type,Issues[PRIORITY],priority)</f>
        <v>0</v>
      </c>
    </row>
    <row r="49" spans="7:10" x14ac:dyDescent="0.25">
      <c r="G49">
        <v>34</v>
      </c>
      <c r="H49" s="1">
        <f t="shared" si="1"/>
        <v>34</v>
      </c>
      <c r="I49">
        <f ca="1">I48+COUNTIFS(Issues[OPENED ON],H49,Issues[TYPE],type,Issues[PRIORITY],priority)</f>
        <v>0</v>
      </c>
      <c r="J49">
        <f ca="1">J48+COUNTIFS(Issues[CLOSED ON],H49,Issues[TYPE],type,Issues[PRIORITY],priority)</f>
        <v>0</v>
      </c>
    </row>
    <row r="50" spans="7:10" x14ac:dyDescent="0.25">
      <c r="G50">
        <v>35</v>
      </c>
      <c r="H50" s="1">
        <f t="shared" si="1"/>
        <v>35</v>
      </c>
      <c r="I50">
        <f ca="1">I49+COUNTIFS(Issues[OPENED ON],H50,Issues[TYPE],type,Issues[PRIORITY],priority)</f>
        <v>0</v>
      </c>
      <c r="J50">
        <f ca="1">J49+COUNTIFS(Issues[CLOSED ON],H50,Issues[TYPE],type,Issues[PRIORITY],priority)</f>
        <v>0</v>
      </c>
    </row>
    <row r="51" spans="7:10" x14ac:dyDescent="0.25">
      <c r="G51">
        <v>36</v>
      </c>
      <c r="H51" s="1">
        <f t="shared" si="1"/>
        <v>36</v>
      </c>
      <c r="I51">
        <f ca="1">I50+COUNTIFS(Issues[OPENED ON],H51,Issues[TYPE],type,Issues[PRIORITY],priority)</f>
        <v>0</v>
      </c>
      <c r="J51">
        <f ca="1">J50+COUNTIFS(Issues[CLOSED ON],H51,Issues[TYPE],type,Issues[PRIORITY],priority)</f>
        <v>0</v>
      </c>
    </row>
    <row r="52" spans="7:10" x14ac:dyDescent="0.25">
      <c r="G52">
        <v>37</v>
      </c>
      <c r="H52" s="1">
        <f t="shared" si="1"/>
        <v>37</v>
      </c>
      <c r="I52">
        <f ca="1">I51+COUNTIFS(Issues[OPENED ON],H52,Issues[TYPE],type,Issues[PRIORITY],priority)</f>
        <v>0</v>
      </c>
      <c r="J52">
        <f ca="1">J51+COUNTIFS(Issues[CLOSED ON],H52,Issues[TYPE],type,Issues[PRIORITY],priority)</f>
        <v>0</v>
      </c>
    </row>
    <row r="53" spans="7:10" x14ac:dyDescent="0.25">
      <c r="G53">
        <v>38</v>
      </c>
      <c r="H53" s="1">
        <f t="shared" si="1"/>
        <v>38</v>
      </c>
      <c r="I53">
        <f ca="1">I52+COUNTIFS(Issues[OPENED ON],H53,Issues[TYPE],type,Issues[PRIORITY],priority)</f>
        <v>0</v>
      </c>
      <c r="J53">
        <f ca="1">J52+COUNTIFS(Issues[CLOSED ON],H53,Issues[TYPE],type,Issues[PRIORITY],priority)</f>
        <v>0</v>
      </c>
    </row>
    <row r="54" spans="7:10" x14ac:dyDescent="0.25">
      <c r="G54">
        <v>39</v>
      </c>
      <c r="H54" s="1">
        <f t="shared" si="1"/>
        <v>39</v>
      </c>
      <c r="I54">
        <f ca="1">I53+COUNTIFS(Issues[OPENED ON],H54,Issues[TYPE],type,Issues[PRIORITY],priority)</f>
        <v>0</v>
      </c>
      <c r="J54">
        <f ca="1">J53+COUNTIFS(Issues[CLOSED ON],H54,Issues[TYPE],type,Issues[PRIORITY],priority)</f>
        <v>0</v>
      </c>
    </row>
    <row r="55" spans="7:10" x14ac:dyDescent="0.25">
      <c r="G55">
        <v>40</v>
      </c>
      <c r="H55" s="1">
        <f t="shared" si="1"/>
        <v>40</v>
      </c>
      <c r="I55">
        <f ca="1">I54+COUNTIFS(Issues[OPENED ON],H55,Issues[TYPE],type,Issues[PRIORITY],priority)</f>
        <v>0</v>
      </c>
      <c r="J55">
        <f ca="1">J54+COUNTIFS(Issues[CLOSED ON],H55,Issues[TYPE],type,Issues[PRIORITY],priority)</f>
        <v>0</v>
      </c>
    </row>
    <row r="56" spans="7:10" x14ac:dyDescent="0.25">
      <c r="G56">
        <v>41</v>
      </c>
      <c r="H56" s="1">
        <f t="shared" si="1"/>
        <v>41</v>
      </c>
      <c r="I56">
        <f ca="1">I55+COUNTIFS(Issues[OPENED ON],H56,Issues[TYPE],type,Issues[PRIORITY],priority)</f>
        <v>0</v>
      </c>
      <c r="J56">
        <f ca="1">J55+COUNTIFS(Issues[CLOSED ON],H56,Issues[TYPE],type,Issues[PRIORITY],priority)</f>
        <v>0</v>
      </c>
    </row>
    <row r="57" spans="7:10" x14ac:dyDescent="0.25">
      <c r="G57">
        <v>42</v>
      </c>
      <c r="H57" s="1">
        <f t="shared" si="1"/>
        <v>42</v>
      </c>
      <c r="I57">
        <f ca="1">I56+COUNTIFS(Issues[OPENED ON],H57,Issues[TYPE],type,Issues[PRIORITY],priority)</f>
        <v>0</v>
      </c>
      <c r="J57">
        <f ca="1">J56+COUNTIFS(Issues[CLOSED ON],H57,Issues[TYPE],type,Issues[PRIORITY],priority)</f>
        <v>0</v>
      </c>
    </row>
    <row r="58" spans="7:10" x14ac:dyDescent="0.25">
      <c r="G58">
        <v>43</v>
      </c>
      <c r="H58" s="1">
        <f t="shared" si="1"/>
        <v>43</v>
      </c>
      <c r="I58">
        <f ca="1">I57+COUNTIFS(Issues[OPENED ON],H58,Issues[TYPE],type,Issues[PRIORITY],priority)</f>
        <v>0</v>
      </c>
      <c r="J58">
        <f ca="1">J57+COUNTIFS(Issues[CLOSED ON],H58,Issues[TYPE],type,Issues[PRIORITY],priority)</f>
        <v>0</v>
      </c>
    </row>
    <row r="59" spans="7:10" x14ac:dyDescent="0.25">
      <c r="G59">
        <v>44</v>
      </c>
      <c r="H59" s="1">
        <f t="shared" si="1"/>
        <v>44</v>
      </c>
      <c r="I59">
        <f ca="1">I58+COUNTIFS(Issues[OPENED ON],H59,Issues[TYPE],type,Issues[PRIORITY],priority)</f>
        <v>0</v>
      </c>
      <c r="J59">
        <f ca="1">J58+COUNTIFS(Issues[CLOSED ON],H59,Issues[TYPE],type,Issues[PRIORITY],priority)</f>
        <v>0</v>
      </c>
    </row>
    <row r="60" spans="7:10" x14ac:dyDescent="0.25">
      <c r="G60">
        <v>45</v>
      </c>
      <c r="H60" s="1">
        <f t="shared" si="1"/>
        <v>45</v>
      </c>
      <c r="I60">
        <f ca="1">I59+COUNTIFS(Issues[OPENED ON],H60,Issues[TYPE],type,Issues[PRIORITY],priority)</f>
        <v>0</v>
      </c>
      <c r="J60">
        <f ca="1">J59+COUNTIFS(Issues[CLOSED ON],H60,Issues[TYPE],type,Issues[PRIORITY],priority)</f>
        <v>0</v>
      </c>
    </row>
    <row r="61" spans="7:10" x14ac:dyDescent="0.25">
      <c r="G61">
        <v>46</v>
      </c>
      <c r="H61" s="1">
        <f t="shared" si="1"/>
        <v>46</v>
      </c>
      <c r="I61">
        <f ca="1">I60+COUNTIFS(Issues[OPENED ON],H61,Issues[TYPE],type,Issues[PRIORITY],priority)</f>
        <v>0</v>
      </c>
      <c r="J61">
        <f ca="1">J60+COUNTIFS(Issues[CLOSED ON],H61,Issues[TYPE],type,Issues[PRIORITY],priority)</f>
        <v>0</v>
      </c>
    </row>
    <row r="62" spans="7:10" x14ac:dyDescent="0.25">
      <c r="G62">
        <v>47</v>
      </c>
      <c r="H62" s="1">
        <f t="shared" si="1"/>
        <v>47</v>
      </c>
      <c r="I62">
        <f ca="1">I61+COUNTIFS(Issues[OPENED ON],H62,Issues[TYPE],type,Issues[PRIORITY],priority)</f>
        <v>0</v>
      </c>
      <c r="J62">
        <f ca="1">J61+COUNTIFS(Issues[CLOSED ON],H62,Issues[TYPE],type,Issues[PRIORITY],priority)</f>
        <v>0</v>
      </c>
    </row>
    <row r="63" spans="7:10" x14ac:dyDescent="0.25">
      <c r="G63">
        <v>48</v>
      </c>
      <c r="H63" s="1">
        <f t="shared" si="1"/>
        <v>48</v>
      </c>
      <c r="I63">
        <f ca="1">I62+COUNTIFS(Issues[OPENED ON],H63,Issues[TYPE],type,Issues[PRIORITY],priority)</f>
        <v>0</v>
      </c>
      <c r="J63">
        <f ca="1">J62+COUNTIFS(Issues[CLOSED ON],H63,Issues[TYPE],type,Issues[PRIORITY],priority)</f>
        <v>0</v>
      </c>
    </row>
    <row r="64" spans="7:10" x14ac:dyDescent="0.25">
      <c r="G64">
        <v>49</v>
      </c>
      <c r="H64" s="1">
        <f t="shared" si="1"/>
        <v>49</v>
      </c>
      <c r="I64">
        <f ca="1">I63+COUNTIFS(Issues[OPENED ON],H64,Issues[TYPE],type,Issues[PRIORITY],priority)</f>
        <v>0</v>
      </c>
      <c r="J64">
        <f ca="1">J63+COUNTIFS(Issues[CLOSED ON],H64,Issues[TYPE],type,Issues[PRIORITY],priority)</f>
        <v>0</v>
      </c>
    </row>
    <row r="65" spans="7:10" x14ac:dyDescent="0.25">
      <c r="G65">
        <v>50</v>
      </c>
      <c r="H65" s="1">
        <f t="shared" si="1"/>
        <v>50</v>
      </c>
      <c r="I65">
        <f ca="1">I64+COUNTIFS(Issues[OPENED ON],H65,Issues[TYPE],type,Issues[PRIORITY],priority)</f>
        <v>0</v>
      </c>
      <c r="J65">
        <f ca="1">J64+COUNTIFS(Issues[CLOSED ON],H65,Issues[TYPE],type,Issues[PRIORITY],priority)</f>
        <v>0</v>
      </c>
    </row>
    <row r="66" spans="7:10" x14ac:dyDescent="0.25">
      <c r="G66">
        <v>51</v>
      </c>
      <c r="H66" s="1">
        <f t="shared" si="1"/>
        <v>51</v>
      </c>
      <c r="I66">
        <f ca="1">I65+COUNTIFS(Issues[OPENED ON],H66,Issues[TYPE],type,Issues[PRIORITY],priority)</f>
        <v>0</v>
      </c>
      <c r="J66">
        <f ca="1">J65+COUNTIFS(Issues[CLOSED ON],H66,Issues[TYPE],type,Issues[PRIORITY],priority)</f>
        <v>0</v>
      </c>
    </row>
    <row r="67" spans="7:10" x14ac:dyDescent="0.25">
      <c r="G67">
        <v>52</v>
      </c>
      <c r="H67" s="1">
        <f t="shared" si="1"/>
        <v>52</v>
      </c>
      <c r="I67">
        <f ca="1">I66+COUNTIFS(Issues[OPENED ON],H67,Issues[TYPE],type,Issues[PRIORITY],priority)</f>
        <v>0</v>
      </c>
      <c r="J67">
        <f ca="1">J66+COUNTIFS(Issues[CLOSED ON],H67,Issues[TYPE],type,Issues[PRIORITY],priority)</f>
        <v>0</v>
      </c>
    </row>
    <row r="68" spans="7:10" x14ac:dyDescent="0.25">
      <c r="G68">
        <v>53</v>
      </c>
      <c r="H68" s="1">
        <f t="shared" si="1"/>
        <v>53</v>
      </c>
      <c r="I68">
        <f ca="1">I67+COUNTIFS(Issues[OPENED ON],H68,Issues[TYPE],type,Issues[PRIORITY],priority)</f>
        <v>0</v>
      </c>
      <c r="J68">
        <f ca="1">J67+COUNTIFS(Issues[CLOSED ON],H68,Issues[TYPE],type,Issues[PRIORITY],priority)</f>
        <v>0</v>
      </c>
    </row>
    <row r="69" spans="7:10" x14ac:dyDescent="0.25">
      <c r="G69">
        <v>54</v>
      </c>
      <c r="H69" s="1">
        <f t="shared" si="1"/>
        <v>54</v>
      </c>
      <c r="I69">
        <f ca="1">I68+COUNTIFS(Issues[OPENED ON],H69,Issues[TYPE],type,Issues[PRIORITY],priority)</f>
        <v>0</v>
      </c>
      <c r="J69">
        <f ca="1">J68+COUNTIFS(Issues[CLOSED ON],H69,Issues[TYPE],type,Issues[PRIORITY],priority)</f>
        <v>0</v>
      </c>
    </row>
    <row r="70" spans="7:10" x14ac:dyDescent="0.25">
      <c r="G70">
        <v>55</v>
      </c>
      <c r="H70" s="1">
        <f t="shared" si="1"/>
        <v>55</v>
      </c>
      <c r="I70">
        <f ca="1">I69+COUNTIFS(Issues[OPENED ON],H70,Issues[TYPE],type,Issues[PRIORITY],priority)</f>
        <v>0</v>
      </c>
      <c r="J70">
        <f ca="1">J69+COUNTIFS(Issues[CLOSED ON],H70,Issues[TYPE],type,Issues[PRIORITY],priority)</f>
        <v>0</v>
      </c>
    </row>
    <row r="71" spans="7:10" x14ac:dyDescent="0.25">
      <c r="G71">
        <v>56</v>
      </c>
      <c r="H71" s="1">
        <f t="shared" si="1"/>
        <v>56</v>
      </c>
      <c r="I71">
        <f ca="1">I70+COUNTIFS(Issues[OPENED ON],H71,Issues[TYPE],type,Issues[PRIORITY],priority)</f>
        <v>0</v>
      </c>
      <c r="J71">
        <f ca="1">J70+COUNTIFS(Issues[CLOSED ON],H71,Issues[TYPE],type,Issues[PRIORITY],priority)</f>
        <v>0</v>
      </c>
    </row>
    <row r="72" spans="7:10" x14ac:dyDescent="0.25">
      <c r="G72">
        <v>57</v>
      </c>
      <c r="H72" s="1">
        <f t="shared" si="1"/>
        <v>57</v>
      </c>
      <c r="I72">
        <f ca="1">I71+COUNTIFS(Issues[OPENED ON],H72,Issues[TYPE],type,Issues[PRIORITY],priority)</f>
        <v>0</v>
      </c>
      <c r="J72">
        <f ca="1">J71+COUNTIFS(Issues[CLOSED ON],H72,Issues[TYPE],type,Issues[PRIORITY],priority)</f>
        <v>0</v>
      </c>
    </row>
    <row r="73" spans="7:10" x14ac:dyDescent="0.25">
      <c r="G73">
        <v>58</v>
      </c>
      <c r="H73" s="1">
        <f t="shared" si="1"/>
        <v>58</v>
      </c>
      <c r="I73">
        <f ca="1">I72+COUNTIFS(Issues[OPENED ON],H73,Issues[TYPE],type,Issues[PRIORITY],priority)</f>
        <v>0</v>
      </c>
      <c r="J73">
        <f ca="1">J72+COUNTIFS(Issues[CLOSED ON],H73,Issues[TYPE],type,Issues[PRIORITY],priority)</f>
        <v>0</v>
      </c>
    </row>
    <row r="74" spans="7:10" x14ac:dyDescent="0.25">
      <c r="G74">
        <v>59</v>
      </c>
      <c r="H74" s="1">
        <f t="shared" si="1"/>
        <v>59</v>
      </c>
      <c r="I74">
        <f ca="1">I73+COUNTIFS(Issues[OPENED ON],H74,Issues[TYPE],type,Issues[PRIORITY],priority)</f>
        <v>0</v>
      </c>
      <c r="J74">
        <f ca="1">J73+COUNTIFS(Issues[CLOSED ON],H74,Issues[TYPE],type,Issues[PRIORITY],priority)</f>
        <v>0</v>
      </c>
    </row>
    <row r="75" spans="7:10" x14ac:dyDescent="0.25">
      <c r="G75">
        <v>60</v>
      </c>
      <c r="H75" s="1">
        <f t="shared" si="1"/>
        <v>60</v>
      </c>
      <c r="I75">
        <f ca="1">I74+COUNTIFS(Issues[OPENED ON],H75,Issues[TYPE],type,Issues[PRIORITY],priority)</f>
        <v>0</v>
      </c>
      <c r="J75">
        <f ca="1">J74+COUNTIFS(Issues[CLOSED ON],H75,Issues[TYPE],type,Issues[PRIORITY],priority)</f>
        <v>0</v>
      </c>
    </row>
    <row r="76" spans="7:10" x14ac:dyDescent="0.25">
      <c r="G76">
        <v>61</v>
      </c>
      <c r="H76" s="1">
        <f t="shared" si="1"/>
        <v>61</v>
      </c>
      <c r="I76">
        <f ca="1">I75+COUNTIFS(Issues[OPENED ON],H76,Issues[TYPE],type,Issues[PRIORITY],priority)</f>
        <v>0</v>
      </c>
      <c r="J76">
        <f ca="1">J75+COUNTIFS(Issues[CLOSED ON],H76,Issues[TYPE],type,Issues[PRIORITY],priority)</f>
        <v>0</v>
      </c>
    </row>
    <row r="77" spans="7:10" x14ac:dyDescent="0.25">
      <c r="G77">
        <v>62</v>
      </c>
      <c r="H77" s="1">
        <f t="shared" si="1"/>
        <v>62</v>
      </c>
      <c r="I77">
        <f ca="1">I76+COUNTIFS(Issues[OPENED ON],H77,Issues[TYPE],type,Issues[PRIORITY],priority)</f>
        <v>0</v>
      </c>
      <c r="J77">
        <f ca="1">J76+COUNTIFS(Issues[CLOSED ON],H77,Issues[TYPE],type,Issues[PRIORITY],priority)</f>
        <v>0</v>
      </c>
    </row>
    <row r="78" spans="7:10" x14ac:dyDescent="0.25">
      <c r="G78">
        <v>63</v>
      </c>
      <c r="H78" s="1">
        <f t="shared" si="1"/>
        <v>63</v>
      </c>
      <c r="I78">
        <f ca="1">I77+COUNTIFS(Issues[OPENED ON],H78,Issues[TYPE],type,Issues[PRIORITY],priority)</f>
        <v>0</v>
      </c>
      <c r="J78">
        <f ca="1">J77+COUNTIFS(Issues[CLOSED ON],H78,Issues[TYPE],type,Issues[PRIORITY],priority)</f>
        <v>0</v>
      </c>
    </row>
    <row r="79" spans="7:10" x14ac:dyDescent="0.25">
      <c r="G79">
        <v>64</v>
      </c>
      <c r="H79" s="1">
        <f t="shared" si="1"/>
        <v>64</v>
      </c>
      <c r="I79">
        <f ca="1">I78+COUNTIFS(Issues[OPENED ON],H79,Issues[TYPE],type,Issues[PRIORITY],priority)</f>
        <v>0</v>
      </c>
      <c r="J79">
        <f ca="1">J78+COUNTIFS(Issues[CLOSED ON],H79,Issues[TYPE],type,Issues[PRIORITY],priority)</f>
        <v>0</v>
      </c>
    </row>
    <row r="80" spans="7:10" x14ac:dyDescent="0.25">
      <c r="G80">
        <v>65</v>
      </c>
      <c r="H80" s="1">
        <f t="shared" ref="H80" si="2">keydate-days+G80</f>
        <v>65</v>
      </c>
      <c r="I80">
        <f ca="1">I79+COUNTIFS(Issues[OPENED ON],H80,Issues[TYPE],type,Issues[PRIORITY],priority)</f>
        <v>0</v>
      </c>
      <c r="J80">
        <f ca="1">J79+COUNTIFS(Issues[CLOSED ON],H80,Issues[TYPE],type,Issues[PRIORITY],priority)</f>
        <v>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Props1.xml><?xml version="1.0" encoding="utf-8"?>
<ds:datastoreItem xmlns:ds="http://schemas.openxmlformats.org/officeDocument/2006/customXml" ds:itemID="{8758BBDD-98A6-422E-9216-35295590F243}">
  <ds:schemaRefs>
    <ds:schemaRef ds:uri="http://schemas.microsoft.com/sharepoint/v3/contenttype/forms"/>
  </ds:schemaRefs>
</ds:datastoreItem>
</file>

<file path=customXml/itemProps2.xml><?xml version="1.0" encoding="utf-8"?>
<ds:datastoreItem xmlns:ds="http://schemas.openxmlformats.org/officeDocument/2006/customXml" ds:itemID="{590C273B-CA2B-418F-BBC2-95D7473D5B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5222FD-27AF-4B66-A496-95C2840FCB10}">
  <ds:schemaRefs>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71af3243-3dd4-4a8d-8c0d-dd76da1f02a5"/>
    <ds:schemaRef ds:uri="http://purl.org/dc/terms/"/>
    <ds:schemaRef ds:uri="http://schemas.microsoft.com/sharepoint/v3"/>
    <ds:schemaRef ds:uri="230e9df3-be65-4c73-a93b-d1236ebd677e"/>
    <ds:schemaRef ds:uri="16c05727-aa75-4e4a-9b5f-8a80a116589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TM03784001</Template>
  <Application>Microsoft Excel</Application>
  <DocSecurity>0</DocSecurity>
  <ScaleCrop>false</ScaleCrop>
  <HeadingPairs>
    <vt:vector size="4" baseType="variant">
      <vt:variant>
        <vt:lpstr>Worksheets</vt:lpstr>
      </vt:variant>
      <vt:variant>
        <vt:i4>2</vt:i4>
      </vt:variant>
      <vt:variant>
        <vt:lpstr>Named Ranges</vt:lpstr>
      </vt:variant>
      <vt:variant>
        <vt:i4>9</vt:i4>
      </vt:variant>
    </vt:vector>
  </HeadingPairs>
  <TitlesOfParts>
    <vt:vector size="11" baseType="lpstr">
      <vt:lpstr>Issue Tracker</vt:lpstr>
      <vt:lpstr>calculations</vt:lpstr>
      <vt:lpstr>days</vt:lpstr>
      <vt:lpstr>keydate</vt:lpstr>
      <vt:lpstr>maxdate</vt:lpstr>
      <vt:lpstr>mindate</vt:lpstr>
      <vt:lpstr>'Issue Tracker'!Print_Titles</vt:lpstr>
      <vt:lpstr>priority</vt:lpstr>
      <vt:lpstr>RowTitleRegion1..J2</vt:lpstr>
      <vt:lpstr>Title1</vt:lpstr>
      <vt:lpstr>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2022-11-06T05:57:26Z</dcterms:created>
  <dcterms:modified xsi:type="dcterms:W3CDTF">2023-05-25T05:47:39Z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y fmtid="{D5CDD505-2E9C-101B-9397-08002B2CF9AE}" pid="3" name="MSIP_Label_defa4170-0d19-0005-0004-bc88714345d2_Enabled">
    <vt:lpwstr>true</vt:lpwstr>
  </property>
  <property fmtid="{D5CDD505-2E9C-101B-9397-08002B2CF9AE}" pid="4" name="MSIP_Label_defa4170-0d19-0005-0004-bc88714345d2_SetDate">
    <vt:lpwstr>2023-01-28T11:29:25Z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80973ecb-f349-4d26-af84-24e751ff0fa4</vt:lpwstr>
  </property>
  <property fmtid="{D5CDD505-2E9C-101B-9397-08002B2CF9AE}" pid="8" name="MSIP_Label_defa4170-0d19-0005-0004-bc88714345d2_ActionId">
    <vt:lpwstr>a29cffb7-b477-4184-9580-f32d63446781</vt:lpwstr>
  </property>
  <property fmtid="{D5CDD505-2E9C-101B-9397-08002B2CF9AE}" pid="9" name="MSIP_Label_defa4170-0d19-0005-0004-bc88714345d2_ContentBits">
    <vt:lpwstr>0</vt:lpwstr>
  </property>
</Properties>
</file>