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3"/>
  </bookViews>
  <sheets>
    <sheet name="Actuals" sheetId="1" r:id="rId1"/>
    <sheet name="Targets" sheetId="2" r:id="rId2"/>
    <sheet name="Scorecard" sheetId="3" r:id="rId3"/>
    <sheet name="Measure" sheetId="4" r:id="rId4"/>
  </sheets>
  <definedNames>
    <definedName name="Actuals">'Actuals'!$1:$161</definedName>
    <definedName name="Targets">'Targets'!$1:$325</definedName>
  </definedNames>
  <calcPr fullCalcOnLoad="1"/>
</workbook>
</file>

<file path=xl/sharedStrings.xml><?xml version="1.0" encoding="utf-8"?>
<sst xmlns="http://schemas.openxmlformats.org/spreadsheetml/2006/main" count="84" uniqueCount="42">
  <si>
    <t>Process Measure 1</t>
  </si>
  <si>
    <t>Process Measure 2</t>
  </si>
  <si>
    <t>Process Measure 3</t>
  </si>
  <si>
    <t>Process Measure 4</t>
  </si>
  <si>
    <t>Process Measure 5</t>
  </si>
  <si>
    <t>Learning Measure 1</t>
  </si>
  <si>
    <t>Learning Measure 2</t>
  </si>
  <si>
    <t>Learning Measure 3</t>
  </si>
  <si>
    <t>Learning Measure 4</t>
  </si>
  <si>
    <t>Learning Measure 5</t>
  </si>
  <si>
    <t>Financial Measure 6</t>
  </si>
  <si>
    <t>Customer Measure 6</t>
  </si>
  <si>
    <t>Process Measure 6</t>
  </si>
  <si>
    <t>Learning Measure 6</t>
  </si>
  <si>
    <t>Organization</t>
  </si>
  <si>
    <t>Balanced Scorecard</t>
  </si>
  <si>
    <t>Score represents percentage of goal reached with 100 as meeting target.</t>
  </si>
  <si>
    <t>Notes</t>
  </si>
  <si>
    <t>Financial Measure 1</t>
  </si>
  <si>
    <t>Financial Measure 2</t>
  </si>
  <si>
    <t>Financial Measure 3</t>
  </si>
  <si>
    <t>Financial Measure 4</t>
  </si>
  <si>
    <t>Financial Measure 5</t>
  </si>
  <si>
    <t>Customer Measure 1</t>
  </si>
  <si>
    <t>Customer Measure 2</t>
  </si>
  <si>
    <t>Customer Measure 3</t>
  </si>
  <si>
    <t>Customer Measure 4</t>
  </si>
  <si>
    <t>Customer Measure 5</t>
  </si>
  <si>
    <t>Measure</t>
  </si>
  <si>
    <t>Target</t>
  </si>
  <si>
    <t>Financial Perspective</t>
  </si>
  <si>
    <t>MEASURE</t>
  </si>
  <si>
    <t>DATE</t>
  </si>
  <si>
    <t>ACTUAL</t>
  </si>
  <si>
    <t>TARGET</t>
  </si>
  <si>
    <t>MAXIMUM</t>
  </si>
  <si>
    <t>Customer Perspective</t>
  </si>
  <si>
    <t>SCORE</t>
  </si>
  <si>
    <t>BELOW MIN</t>
  </si>
  <si>
    <t>Business Process Perspective</t>
  </si>
  <si>
    <t>Learning &amp; Growth Perspective</t>
  </si>
  <si>
    <r>
      <t>SCORE</t>
    </r>
    <r>
      <rPr>
        <b/>
        <sz val="9"/>
        <color indexed="9"/>
        <rFont val="Abadi"/>
        <family val="2"/>
      </rPr>
      <t>*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</si>
</sst>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0.0"/>
    <numFmt numFmtId="169" formatCode="mmmm\-yy"/>
    <numFmt numFmtId="170" formatCode="&quot;$&quot;#,##0.00"/>
  </numFmts>
  <fonts count="6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badi"/>
      <family val="2"/>
    </font>
    <font>
      <sz val="22"/>
      <name val="Abadi"/>
      <family val="2"/>
    </font>
    <font>
      <sz val="22"/>
      <color indexed="9"/>
      <name val="Abadi"/>
      <family val="2"/>
    </font>
    <font>
      <b/>
      <sz val="18"/>
      <color indexed="10"/>
      <name val="Abadi"/>
      <family val="2"/>
    </font>
    <font>
      <b/>
      <sz val="18"/>
      <color indexed="9"/>
      <name val="Abadi"/>
      <family val="2"/>
    </font>
    <font>
      <sz val="18"/>
      <name val="Abadi"/>
      <family val="2"/>
    </font>
    <font>
      <b/>
      <sz val="16"/>
      <name val="Abadi"/>
      <family val="2"/>
    </font>
    <font>
      <b/>
      <sz val="18"/>
      <name val="Abadi"/>
      <family val="2"/>
    </font>
    <font>
      <sz val="16"/>
      <name val="Abadi"/>
      <family val="2"/>
    </font>
    <font>
      <sz val="7"/>
      <name val="Abadi"/>
      <family val="2"/>
    </font>
    <font>
      <sz val="14"/>
      <name val="Abadi"/>
      <family val="2"/>
    </font>
    <font>
      <i/>
      <sz val="8"/>
      <name val="Abadi"/>
      <family val="2"/>
    </font>
    <font>
      <b/>
      <sz val="12"/>
      <name val="Abadi"/>
      <family val="2"/>
    </font>
    <font>
      <b/>
      <sz val="8"/>
      <name val="Abadi"/>
      <family val="2"/>
    </font>
    <font>
      <b/>
      <sz val="8"/>
      <color indexed="9"/>
      <name val="Abadi"/>
      <family val="2"/>
    </font>
    <font>
      <b/>
      <sz val="9"/>
      <color indexed="9"/>
      <name val="Abadi"/>
      <family val="2"/>
    </font>
    <font>
      <b/>
      <sz val="14"/>
      <name val="Abadi"/>
      <family val="2"/>
    </font>
    <font>
      <sz val="14"/>
      <color indexed="9"/>
      <name val="Abadi"/>
      <family val="2"/>
    </font>
    <font>
      <sz val="8"/>
      <color indexed="9"/>
      <name val="Abadi"/>
      <family val="2"/>
    </font>
    <font>
      <sz val="10"/>
      <color indexed="9"/>
      <name val="Abadi"/>
      <family val="2"/>
    </font>
    <font>
      <b/>
      <sz val="9"/>
      <name val="Abad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7" fontId="20" fillId="0" borderId="0" xfId="0" applyNumberFormat="1" applyFont="1" applyAlignment="1">
      <alignment horizontal="left"/>
    </xf>
    <xf numFmtId="17" fontId="20" fillId="33" borderId="0" xfId="0" applyNumberFormat="1" applyFont="1" applyFill="1" applyAlignment="1">
      <alignment/>
    </xf>
    <xf numFmtId="17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" fontId="20" fillId="33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164" fontId="20" fillId="34" borderId="0" xfId="42" applyNumberFormat="1" applyFont="1" applyFill="1" applyAlignment="1">
      <alignment horizontal="right"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right"/>
    </xf>
    <xf numFmtId="164" fontId="23" fillId="34" borderId="0" xfId="42" applyNumberFormat="1" applyFont="1" applyFill="1" applyAlignment="1">
      <alignment horizontal="right"/>
    </xf>
    <xf numFmtId="0" fontId="23" fillId="34" borderId="0" xfId="0" applyFont="1" applyFill="1" applyAlignment="1">
      <alignment horizontal="right"/>
    </xf>
    <xf numFmtId="0" fontId="24" fillId="34" borderId="0" xfId="0" applyFont="1" applyFill="1" applyAlignment="1">
      <alignment horizontal="right"/>
    </xf>
    <xf numFmtId="0" fontId="24" fillId="34" borderId="0" xfId="0" applyFont="1" applyFill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5" fillId="34" borderId="0" xfId="0" applyFont="1" applyFill="1" applyAlignment="1">
      <alignment/>
    </xf>
    <xf numFmtId="0" fontId="26" fillId="8" borderId="0" xfId="0" applyFont="1" applyFill="1" applyAlignment="1">
      <alignment/>
    </xf>
    <xf numFmtId="164" fontId="26" fillId="8" borderId="0" xfId="0" applyNumberFormat="1" applyFont="1" applyFill="1" applyAlignment="1">
      <alignment horizontal="right"/>
    </xf>
    <xf numFmtId="0" fontId="27" fillId="35" borderId="0" xfId="0" applyFont="1" applyFill="1" applyBorder="1" applyAlignment="1">
      <alignment horizontal="right" vertical="center" wrapText="1"/>
    </xf>
    <xf numFmtId="17" fontId="24" fillId="34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8" fillId="8" borderId="0" xfId="0" applyFont="1" applyFill="1" applyBorder="1" applyAlignment="1">
      <alignment vertical="center"/>
    </xf>
    <xf numFmtId="164" fontId="28" fillId="8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164" fontId="25" fillId="0" borderId="0" xfId="42" applyNumberFormat="1" applyFont="1" applyFill="1" applyAlignment="1">
      <alignment horizontal="right"/>
    </xf>
    <xf numFmtId="164" fontId="25" fillId="0" borderId="0" xfId="42" applyNumberFormat="1" applyFont="1" applyAlignment="1">
      <alignment horizontal="right"/>
    </xf>
    <xf numFmtId="16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64" fontId="21" fillId="0" borderId="0" xfId="42" applyNumberFormat="1" applyFont="1" applyFill="1" applyAlignment="1">
      <alignment horizontal="centerContinuous"/>
    </xf>
    <xf numFmtId="164" fontId="21" fillId="0" borderId="0" xfId="42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17" fontId="21" fillId="0" borderId="0" xfId="0" applyNumberFormat="1" applyFont="1" applyAlignment="1" quotePrefix="1">
      <alignment horizontal="right"/>
    </xf>
    <xf numFmtId="0" fontId="2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30" fillId="0" borderId="0" xfId="0" applyFont="1" applyAlignment="1">
      <alignment/>
    </xf>
    <xf numFmtId="17" fontId="31" fillId="0" borderId="0" xfId="0" applyNumberFormat="1" applyFont="1" applyAlignment="1">
      <alignment horizontal="left"/>
    </xf>
    <xf numFmtId="0" fontId="32" fillId="8" borderId="0" xfId="0" applyFont="1" applyFill="1" applyAlignment="1">
      <alignment/>
    </xf>
    <xf numFmtId="9" fontId="32" fillId="8" borderId="0" xfId="59" applyFont="1" applyFill="1" applyBorder="1" applyAlignment="1">
      <alignment/>
    </xf>
    <xf numFmtId="0" fontId="32" fillId="8" borderId="0" xfId="0" applyFont="1" applyFill="1" applyBorder="1" applyAlignment="1">
      <alignment/>
    </xf>
    <xf numFmtId="0" fontId="32" fillId="8" borderId="0" xfId="0" applyFont="1" applyFill="1" applyBorder="1" applyAlignment="1">
      <alignment horizontal="right"/>
    </xf>
    <xf numFmtId="164" fontId="32" fillId="8" borderId="0" xfId="42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164" fontId="34" fillId="34" borderId="10" xfId="42" applyNumberFormat="1" applyFont="1" applyFill="1" applyBorder="1" applyAlignment="1">
      <alignment horizontal="right" vertical="center" wrapText="1"/>
    </xf>
    <xf numFmtId="164" fontId="34" fillId="0" borderId="10" xfId="42" applyNumberFormat="1" applyFont="1" applyFill="1" applyBorder="1" applyAlignment="1">
      <alignment horizontal="right" vertical="center" wrapText="1"/>
    </xf>
    <xf numFmtId="0" fontId="33" fillId="2" borderId="10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17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" fontId="20" fillId="0" borderId="0" xfId="0" applyNumberFormat="1" applyFont="1" applyFill="1" applyBorder="1" applyAlignment="1">
      <alignment horizontal="right"/>
    </xf>
    <xf numFmtId="164" fontId="36" fillId="36" borderId="0" xfId="42" applyNumberFormat="1" applyFont="1" applyFill="1" applyAlignment="1">
      <alignment horizontal="right"/>
    </xf>
    <xf numFmtId="164" fontId="37" fillId="0" borderId="0" xfId="42" applyNumberFormat="1" applyFont="1" applyFill="1" applyBorder="1" applyAlignment="1">
      <alignment horizontal="right"/>
    </xf>
    <xf numFmtId="43" fontId="20" fillId="0" borderId="0" xfId="42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39" fillId="0" borderId="0" xfId="42" applyNumberFormat="1" applyFont="1" applyFill="1" applyBorder="1" applyAlignment="1">
      <alignment horizontal="right"/>
    </xf>
    <xf numFmtId="6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164" fontId="30" fillId="0" borderId="0" xfId="42" applyNumberFormat="1" applyFont="1" applyFill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17" fontId="20" fillId="0" borderId="0" xfId="0" applyNumberFormat="1" applyFont="1" applyAlignment="1">
      <alignment horizontal="right"/>
    </xf>
    <xf numFmtId="164" fontId="36" fillId="0" borderId="0" xfId="42" applyNumberFormat="1" applyFont="1" applyFill="1" applyAlignment="1">
      <alignment horizontal="right"/>
    </xf>
    <xf numFmtId="3" fontId="20" fillId="0" borderId="0" xfId="0" applyNumberFormat="1" applyFont="1" applyBorder="1" applyAlignment="1">
      <alignment horizontal="right"/>
    </xf>
    <xf numFmtId="164" fontId="20" fillId="0" borderId="0" xfId="42" applyNumberFormat="1" applyFont="1" applyFill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 wrapText="1"/>
    </xf>
    <xf numFmtId="167" fontId="20" fillId="0" borderId="0" xfId="0" applyNumberFormat="1" applyFont="1" applyBorder="1" applyAlignment="1">
      <alignment horizontal="right"/>
    </xf>
    <xf numFmtId="166" fontId="20" fillId="0" borderId="0" xfId="44" applyNumberFormat="1" applyFont="1" applyBorder="1" applyAlignment="1">
      <alignment horizontal="right"/>
    </xf>
    <xf numFmtId="164" fontId="20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125"/>
          <c:w val="0.96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Actuals!$N$1:$Y$1</c:f>
              <c:strCache>
                <c:ptCount val="12"/>
                <c:pt idx="0">
                  <c:v>Process Measure 1</c:v>
                </c:pt>
                <c:pt idx="1">
                  <c:v>Process Measure 2</c:v>
                </c:pt>
                <c:pt idx="2">
                  <c:v>Process Measure 3</c:v>
                </c:pt>
                <c:pt idx="3">
                  <c:v>Process Measure 4</c:v>
                </c:pt>
                <c:pt idx="4">
                  <c:v>Process Measure 5</c:v>
                </c:pt>
                <c:pt idx="5">
                  <c:v>Process Measure 6</c:v>
                </c:pt>
                <c:pt idx="6">
                  <c:v>Learning Measure 1</c:v>
                </c:pt>
                <c:pt idx="7">
                  <c:v>Learning Measure 2</c:v>
                </c:pt>
                <c:pt idx="8">
                  <c:v>Learning Measure 3</c:v>
                </c:pt>
                <c:pt idx="9">
                  <c:v>Learning Measure 4</c:v>
                </c:pt>
                <c:pt idx="10">
                  <c:v>Learning Measure 5</c:v>
                </c:pt>
                <c:pt idx="11">
                  <c:v>Learning Measure 6</c:v>
                </c:pt>
              </c:strCache>
            </c:strRef>
          </c:cat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</c:ser>
        <c:axId val="24833166"/>
        <c:axId val="22171903"/>
      </c:barChart>
      <c:lineChart>
        <c:grouping val="standard"/>
        <c:varyColors val="0"/>
        <c:ser>
          <c:idx val="1"/>
          <c:order val="1"/>
          <c:tx>
            <c:v>Targets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Targets!$B$2:$M$2</c:f>
              <c:numCache>
                <c:ptCount val="12"/>
                <c:pt idx="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Previous Year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375"/>
          <c:w val="0.541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123825</xdr:rowOff>
    </xdr:from>
    <xdr:to>
      <xdr:col>10</xdr:col>
      <xdr:colOff>152400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19075" y="447675"/>
        <a:ext cx="5838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8.8515625" defaultRowHeight="12.75"/>
  <cols>
    <col min="1" max="1" width="8.8515625" style="7" customWidth="1"/>
    <col min="2" max="25" width="18.00390625" style="6" customWidth="1"/>
    <col min="26" max="16384" width="8.8515625" style="6" customWidth="1"/>
  </cols>
  <sheetData>
    <row r="1" spans="1:25" s="5" customFormat="1" ht="12.75">
      <c r="A1" s="3" t="s">
        <v>28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10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11</v>
      </c>
      <c r="N1" s="4" t="s">
        <v>0</v>
      </c>
      <c r="O1" s="4" t="s">
        <v>1</v>
      </c>
      <c r="P1" s="4" t="s">
        <v>2</v>
      </c>
      <c r="Q1" s="4" t="s">
        <v>3</v>
      </c>
      <c r="R1" s="4" t="s">
        <v>4</v>
      </c>
      <c r="S1" s="4" t="s">
        <v>12</v>
      </c>
      <c r="T1" s="4" t="s">
        <v>5</v>
      </c>
      <c r="U1" s="4" t="s">
        <v>6</v>
      </c>
      <c r="V1" s="4" t="s">
        <v>7</v>
      </c>
      <c r="W1" s="4" t="s">
        <v>8</v>
      </c>
      <c r="X1" s="4" t="s">
        <v>9</v>
      </c>
      <c r="Y1" s="4" t="s">
        <v>13</v>
      </c>
    </row>
    <row r="2" spans="1:2" ht="12.75">
      <c r="A2" s="3">
        <v>36161</v>
      </c>
      <c r="B2" s="6">
        <v>110</v>
      </c>
    </row>
    <row r="3" ht="12.75">
      <c r="A3" s="3">
        <v>36192</v>
      </c>
    </row>
    <row r="4" ht="12.75">
      <c r="A4" s="3">
        <v>36220</v>
      </c>
    </row>
    <row r="5" ht="12.75">
      <c r="A5" s="3">
        <v>36251</v>
      </c>
    </row>
    <row r="6" ht="12.75">
      <c r="A6" s="3">
        <v>36281</v>
      </c>
    </row>
    <row r="7" ht="12.75">
      <c r="A7" s="3">
        <v>36312</v>
      </c>
    </row>
    <row r="8" ht="12.75">
      <c r="A8" s="3">
        <v>36342</v>
      </c>
    </row>
    <row r="9" ht="12.75">
      <c r="A9" s="3">
        <v>36373</v>
      </c>
    </row>
    <row r="10" ht="12.75">
      <c r="A10" s="3">
        <v>36404</v>
      </c>
    </row>
    <row r="11" ht="12.75">
      <c r="A11" s="3">
        <v>36434</v>
      </c>
    </row>
    <row r="12" ht="12.75">
      <c r="A12" s="3">
        <v>36465</v>
      </c>
    </row>
    <row r="13" ht="12.75">
      <c r="A13" s="3">
        <v>36495</v>
      </c>
    </row>
    <row r="14" ht="12.75">
      <c r="A14" s="3">
        <v>36526</v>
      </c>
    </row>
    <row r="15" ht="12.75">
      <c r="A15" s="3">
        <v>36557</v>
      </c>
    </row>
    <row r="16" ht="12.75">
      <c r="A16" s="3">
        <v>36586</v>
      </c>
    </row>
    <row r="17" ht="12.75">
      <c r="A17" s="3">
        <v>36617</v>
      </c>
    </row>
    <row r="18" ht="12.75">
      <c r="A18" s="3">
        <v>36647</v>
      </c>
    </row>
    <row r="19" ht="12.75">
      <c r="A19" s="3">
        <v>36678</v>
      </c>
    </row>
    <row r="20" ht="12.75">
      <c r="A20" s="3">
        <v>36708</v>
      </c>
    </row>
    <row r="21" ht="12.75">
      <c r="A21" s="3">
        <v>36739</v>
      </c>
    </row>
    <row r="22" ht="12.75">
      <c r="A22" s="3">
        <v>36770</v>
      </c>
    </row>
    <row r="23" ht="12.75">
      <c r="A23" s="3">
        <v>36800</v>
      </c>
    </row>
    <row r="24" ht="12.75">
      <c r="A24" s="3">
        <v>36831</v>
      </c>
    </row>
    <row r="25" ht="12.75">
      <c r="A25" s="3">
        <v>36861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A1:Y25"/>
    </sheetView>
  </sheetViews>
  <sheetFormatPr defaultColWidth="8.8515625" defaultRowHeight="12.75"/>
  <cols>
    <col min="1" max="1" width="9.00390625" style="0" customWidth="1"/>
    <col min="2" max="25" width="18.00390625" style="1" customWidth="1"/>
    <col min="26" max="27" width="9.140625" style="0" customWidth="1"/>
    <col min="28" max="28" width="8.8515625" style="0" customWidth="1"/>
    <col min="29" max="29" width="9.140625" style="0" customWidth="1"/>
    <col min="30" max="30" width="8.8515625" style="0" customWidth="1"/>
    <col min="31" max="31" width="9.140625" style="0" customWidth="1"/>
    <col min="32" max="32" width="8.8515625" style="0" customWidth="1"/>
    <col min="33" max="33" width="9.140625" style="0" customWidth="1"/>
    <col min="34" max="34" width="8.8515625" style="0" customWidth="1"/>
    <col min="35" max="35" width="9.140625" style="0" customWidth="1"/>
    <col min="36" max="36" width="8.8515625" style="0" customWidth="1"/>
    <col min="37" max="37" width="9.140625" style="0" customWidth="1"/>
  </cols>
  <sheetData>
    <row r="1" spans="1:25" s="2" customFormat="1" ht="12.75">
      <c r="A1" s="3" t="s">
        <v>28</v>
      </c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10</v>
      </c>
      <c r="H1" s="8" t="s">
        <v>23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11</v>
      </c>
      <c r="N1" s="8" t="s">
        <v>0</v>
      </c>
      <c r="O1" s="8" t="s">
        <v>1</v>
      </c>
      <c r="P1" s="8" t="s">
        <v>2</v>
      </c>
      <c r="Q1" s="8" t="s">
        <v>3</v>
      </c>
      <c r="R1" s="8" t="s">
        <v>4</v>
      </c>
      <c r="S1" s="8" t="s">
        <v>12</v>
      </c>
      <c r="T1" s="8" t="s">
        <v>5</v>
      </c>
      <c r="U1" s="8" t="s">
        <v>6</v>
      </c>
      <c r="V1" s="8" t="s">
        <v>7</v>
      </c>
      <c r="W1" s="8" t="s">
        <v>8</v>
      </c>
      <c r="X1" s="8" t="s">
        <v>9</v>
      </c>
      <c r="Y1" s="8" t="s">
        <v>13</v>
      </c>
    </row>
    <row r="2" spans="1:25" ht="12.75">
      <c r="A2" s="3">
        <f>Actuals!A2</f>
        <v>36161</v>
      </c>
      <c r="B2" s="9">
        <v>100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3">
        <f>Actuals!A3</f>
        <v>36192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3">
        <f>Actuals!A4</f>
        <v>36220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3">
        <f>Actuals!A5</f>
        <v>36251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3">
        <f>Actuals!A6</f>
        <v>36281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3">
        <f>Actuals!A7</f>
        <v>36312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3">
        <f>Actuals!A8</f>
        <v>36342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3">
        <f>Actuals!A9</f>
        <v>36373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3">
        <f>Actuals!A10</f>
        <v>36404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3">
        <f>Actuals!A11</f>
        <v>36434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3">
        <f>Actuals!A12</f>
        <v>36465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3">
        <f>Actuals!A13</f>
        <v>36495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3">
        <f>Actuals!A14</f>
        <v>36526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3">
        <f>Actuals!A15</f>
        <v>36557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3">
        <f>Actuals!A16</f>
        <v>36586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3">
        <f>Actuals!A17</f>
        <v>36617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3">
        <f>Actuals!A18</f>
        <v>36647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3">
        <f>Actuals!A19</f>
        <v>36678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3">
        <f>Actuals!A20</f>
        <v>36708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3">
        <f>Actuals!A21</f>
        <v>36739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3">
        <f>Actuals!A22</f>
        <v>36770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3">
        <f>Actuals!A23</f>
        <v>36800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3">
        <f>Actuals!A24</f>
        <v>36831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3">
        <f>Actuals!A25</f>
        <v>36861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D36" sqref="D36"/>
    </sheetView>
  </sheetViews>
  <sheetFormatPr defaultColWidth="8.8515625" defaultRowHeight="12.75"/>
  <cols>
    <col min="1" max="1" width="2.8515625" style="6" customWidth="1"/>
    <col min="2" max="2" width="35.140625" style="6" customWidth="1"/>
    <col min="3" max="3" width="0.2890625" style="6" customWidth="1"/>
    <col min="4" max="4" width="8.8515625" style="6" customWidth="1"/>
    <col min="5" max="5" width="0.2890625" style="6" customWidth="1"/>
    <col min="6" max="6" width="8.8515625" style="9" customWidth="1"/>
    <col min="7" max="7" width="0.2890625" style="9" customWidth="1"/>
    <col min="8" max="8" width="13.8515625" style="80" customWidth="1"/>
    <col min="9" max="9" width="0.2890625" style="80" customWidth="1"/>
    <col min="10" max="10" width="13.28125" style="9" customWidth="1"/>
    <col min="11" max="11" width="0.2890625" style="9" customWidth="1"/>
    <col min="12" max="12" width="11.140625" style="9" customWidth="1"/>
    <col min="13" max="16384" width="8.8515625" style="6" customWidth="1"/>
  </cols>
  <sheetData>
    <row r="1" spans="1:12" ht="12.75">
      <c r="A1" s="10"/>
      <c r="B1" s="10"/>
      <c r="C1" s="10"/>
      <c r="D1" s="10"/>
      <c r="E1" s="10"/>
      <c r="F1" s="11"/>
      <c r="G1" s="11"/>
      <c r="H1" s="12"/>
      <c r="I1" s="12"/>
      <c r="J1" s="11"/>
      <c r="K1" s="11"/>
      <c r="L1" s="11"/>
    </row>
    <row r="2" spans="1:12" s="20" customFormat="1" ht="27.75">
      <c r="A2" s="13"/>
      <c r="B2" s="14"/>
      <c r="C2" s="14"/>
      <c r="D2" s="14"/>
      <c r="E2" s="14"/>
      <c r="F2" s="15"/>
      <c r="G2" s="15"/>
      <c r="H2" s="16"/>
      <c r="I2" s="16"/>
      <c r="J2" s="17"/>
      <c r="K2" s="18"/>
      <c r="L2" s="19" t="s">
        <v>14</v>
      </c>
    </row>
    <row r="3" spans="1:12" s="26" customFormat="1" ht="23.25">
      <c r="A3" s="21"/>
      <c r="B3" s="22" t="str">
        <f>L2</f>
        <v>Organization</v>
      </c>
      <c r="C3" s="22"/>
      <c r="D3" s="22"/>
      <c r="E3" s="22"/>
      <c r="F3" s="23">
        <f>AVERAGE(F10,F11,F12,F13,F18,F19,F20,F21,F22,F27,F34,F35)</f>
        <v>110</v>
      </c>
      <c r="G3" s="24"/>
      <c r="H3" s="16"/>
      <c r="I3" s="16"/>
      <c r="J3" s="17"/>
      <c r="K3" s="18"/>
      <c r="L3" s="25" t="s">
        <v>15</v>
      </c>
    </row>
    <row r="4" spans="2:12" s="26" customFormat="1" ht="23.25">
      <c r="B4" s="27" t="s">
        <v>29</v>
      </c>
      <c r="C4" s="27"/>
      <c r="D4" s="27"/>
      <c r="E4" s="27"/>
      <c r="F4" s="28">
        <v>100</v>
      </c>
      <c r="G4" s="29"/>
      <c r="H4" s="30"/>
      <c r="I4" s="31"/>
      <c r="J4" s="32">
        <v>36161</v>
      </c>
      <c r="K4" s="32"/>
      <c r="L4" s="32"/>
    </row>
    <row r="5" spans="2:12" s="20" customFormat="1" ht="7.5" customHeight="1">
      <c r="B5" s="33"/>
      <c r="C5" s="33"/>
      <c r="D5" s="34"/>
      <c r="E5" s="34"/>
      <c r="F5" s="35"/>
      <c r="G5" s="35"/>
      <c r="H5" s="36"/>
      <c r="I5" s="37"/>
      <c r="J5" s="38"/>
      <c r="K5" s="38"/>
      <c r="L5" s="39"/>
    </row>
    <row r="6" spans="2:12" s="20" customFormat="1" ht="7.5" customHeight="1">
      <c r="B6" s="40" t="s">
        <v>16</v>
      </c>
      <c r="C6" s="41"/>
      <c r="D6" s="42"/>
      <c r="E6" s="42"/>
      <c r="F6" s="42"/>
      <c r="G6" s="35"/>
      <c r="H6" s="36"/>
      <c r="I6" s="37"/>
      <c r="J6" s="38"/>
      <c r="K6" s="38"/>
      <c r="L6" s="39"/>
    </row>
    <row r="7" spans="2:12" s="43" customFormat="1" ht="18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50" customFormat="1" ht="19.5" customHeight="1">
      <c r="A8" s="45"/>
      <c r="B8" s="46" t="s">
        <v>30</v>
      </c>
      <c r="C8" s="46"/>
      <c r="D8" s="47"/>
      <c r="E8" s="47"/>
      <c r="F8" s="48"/>
      <c r="G8" s="48"/>
      <c r="H8" s="49"/>
      <c r="I8" s="49"/>
      <c r="J8" s="48"/>
      <c r="K8" s="48"/>
      <c r="L8" s="48"/>
    </row>
    <row r="9" spans="2:12" ht="18" customHeight="1" thickBot="1">
      <c r="B9" s="51" t="s">
        <v>31</v>
      </c>
      <c r="C9" s="51"/>
      <c r="D9" s="52" t="s">
        <v>32</v>
      </c>
      <c r="E9" s="52"/>
      <c r="F9" s="53" t="s">
        <v>41</v>
      </c>
      <c r="G9" s="54"/>
      <c r="H9" s="52" t="s">
        <v>33</v>
      </c>
      <c r="I9" s="52"/>
      <c r="J9" s="52" t="s">
        <v>34</v>
      </c>
      <c r="K9" s="52"/>
      <c r="L9" s="55" t="s">
        <v>17</v>
      </c>
    </row>
    <row r="10" spans="1:12" ht="18" customHeight="1">
      <c r="A10" s="56"/>
      <c r="B10" s="57" t="str">
        <f>Actuals!B1</f>
        <v>Financial Measure 1</v>
      </c>
      <c r="C10" s="58"/>
      <c r="D10" s="59">
        <f aca="true" t="shared" si="0" ref="D10:D15">$J$4</f>
        <v>36161</v>
      </c>
      <c r="E10" s="59"/>
      <c r="F10" s="60">
        <f aca="true" t="shared" si="1" ref="F10:F15">IF(H10=0,"",IF(J10=0,"",(100+(H10-J10)/J10*100)))</f>
        <v>110</v>
      </c>
      <c r="G10" s="61"/>
      <c r="H10" s="62">
        <f>VLOOKUP($D10,Actuals,2)</f>
        <v>110</v>
      </c>
      <c r="I10" s="63"/>
      <c r="J10" s="62">
        <f>VLOOKUP($D10,Targets,2)</f>
        <v>100</v>
      </c>
      <c r="K10" s="63"/>
      <c r="L10" s="64" t="s">
        <v>35</v>
      </c>
    </row>
    <row r="11" spans="1:12" ht="18" customHeight="1">
      <c r="A11" s="56"/>
      <c r="B11" s="57" t="str">
        <f>Actuals!C1</f>
        <v>Financial Measure 2</v>
      </c>
      <c r="C11" s="58"/>
      <c r="D11" s="59">
        <f t="shared" si="0"/>
        <v>36161</v>
      </c>
      <c r="E11" s="65"/>
      <c r="F11" s="60">
        <f t="shared" si="1"/>
      </c>
      <c r="G11" s="66"/>
      <c r="H11" s="62">
        <f>VLOOKUP($D11,Actuals,3)</f>
        <v>0</v>
      </c>
      <c r="I11" s="63"/>
      <c r="J11" s="62">
        <f>VLOOKUP($D11,Targets,3)</f>
        <v>0</v>
      </c>
      <c r="K11" s="67"/>
      <c r="L11" s="64" t="s">
        <v>34</v>
      </c>
    </row>
    <row r="12" spans="1:12" ht="18" customHeight="1">
      <c r="A12" s="56"/>
      <c r="B12" s="57" t="str">
        <f>Actuals!D1</f>
        <v>Financial Measure 3</v>
      </c>
      <c r="C12" s="56"/>
      <c r="D12" s="59">
        <f t="shared" si="0"/>
        <v>36161</v>
      </c>
      <c r="E12" s="68"/>
      <c r="F12" s="60">
        <f t="shared" si="1"/>
      </c>
      <c r="G12" s="69"/>
      <c r="H12" s="62">
        <f>VLOOKUP($D12,Actuals,4)</f>
        <v>0</v>
      </c>
      <c r="I12" s="63"/>
      <c r="J12" s="62">
        <f>VLOOKUP($D12,Targets,4)</f>
        <v>0</v>
      </c>
      <c r="K12" s="70"/>
      <c r="L12" s="65"/>
    </row>
    <row r="13" spans="2:12" ht="18" customHeight="1">
      <c r="B13" s="57" t="str">
        <f>Actuals!E1</f>
        <v>Financial Measure 4</v>
      </c>
      <c r="D13" s="59">
        <f t="shared" si="0"/>
        <v>36161</v>
      </c>
      <c r="E13" s="9"/>
      <c r="F13" s="60">
        <f t="shared" si="1"/>
      </c>
      <c r="G13" s="69"/>
      <c r="H13" s="62">
        <f>VLOOKUP($D13,Actuals,5)</f>
        <v>0</v>
      </c>
      <c r="I13" s="63"/>
      <c r="J13" s="62">
        <f>VLOOKUP($D13,Targets,5)</f>
        <v>0</v>
      </c>
      <c r="K13" s="71"/>
      <c r="L13" s="65"/>
    </row>
    <row r="14" spans="2:12" ht="18" customHeight="1">
      <c r="B14" s="57" t="str">
        <f>Actuals!F1</f>
        <v>Financial Measure 5</v>
      </c>
      <c r="D14" s="59">
        <f t="shared" si="0"/>
        <v>36161</v>
      </c>
      <c r="E14" s="9"/>
      <c r="F14" s="60">
        <f t="shared" si="1"/>
      </c>
      <c r="G14" s="69"/>
      <c r="H14" s="62">
        <f>VLOOKUP($D14,Actuals,6)</f>
        <v>0</v>
      </c>
      <c r="I14" s="63"/>
      <c r="J14" s="62">
        <f>VLOOKUP($D14,Targets,6)</f>
        <v>0</v>
      </c>
      <c r="K14" s="71"/>
      <c r="L14" s="65"/>
    </row>
    <row r="15" spans="2:12" ht="18" customHeight="1">
      <c r="B15" s="57" t="str">
        <f>Actuals!G1</f>
        <v>Financial Measure 6</v>
      </c>
      <c r="D15" s="59">
        <f t="shared" si="0"/>
        <v>36161</v>
      </c>
      <c r="E15" s="9"/>
      <c r="F15" s="60">
        <f t="shared" si="1"/>
      </c>
      <c r="G15" s="69"/>
      <c r="H15" s="62">
        <f>VLOOKUP($D15,Actuals,7)</f>
        <v>0</v>
      </c>
      <c r="I15" s="63"/>
      <c r="J15" s="62">
        <f>VLOOKUP($D15,Targets,7)</f>
        <v>0</v>
      </c>
      <c r="K15" s="71"/>
      <c r="L15" s="65"/>
    </row>
    <row r="16" spans="1:12" s="50" customFormat="1" ht="19.5" customHeight="1">
      <c r="A16" s="45"/>
      <c r="B16" s="46" t="s">
        <v>36</v>
      </c>
      <c r="C16" s="46"/>
      <c r="D16" s="47"/>
      <c r="E16" s="47"/>
      <c r="F16" s="48"/>
      <c r="G16" s="48"/>
      <c r="H16" s="49"/>
      <c r="I16" s="49"/>
      <c r="J16" s="48"/>
      <c r="K16" s="48"/>
      <c r="L16" s="48"/>
    </row>
    <row r="17" spans="2:12" ht="18" customHeight="1" thickBot="1">
      <c r="B17" s="51" t="s">
        <v>31</v>
      </c>
      <c r="C17" s="51"/>
      <c r="D17" s="52" t="s">
        <v>32</v>
      </c>
      <c r="E17" s="52"/>
      <c r="F17" s="53" t="s">
        <v>37</v>
      </c>
      <c r="G17" s="54"/>
      <c r="H17" s="52" t="s">
        <v>33</v>
      </c>
      <c r="I17" s="52"/>
      <c r="J17" s="52" t="s">
        <v>34</v>
      </c>
      <c r="K17" s="52"/>
      <c r="L17" s="55" t="s">
        <v>17</v>
      </c>
    </row>
    <row r="18" spans="1:12" ht="18" customHeight="1">
      <c r="A18" s="56"/>
      <c r="B18" s="57" t="str">
        <f>Actuals!H1</f>
        <v>Customer Measure 1</v>
      </c>
      <c r="C18" s="58"/>
      <c r="D18" s="59">
        <f aca="true" t="shared" si="2" ref="D18:D23">$J$4</f>
        <v>36161</v>
      </c>
      <c r="E18" s="59"/>
      <c r="F18" s="60">
        <f aca="true" t="shared" si="3" ref="F18:F23">IF(H18=0,"",IF(J18=0,"",(100+(H18-J18)/J18*100)))</f>
      </c>
      <c r="G18" s="61"/>
      <c r="H18" s="62">
        <f>VLOOKUP($D18,Actuals,8)</f>
        <v>0</v>
      </c>
      <c r="I18" s="63"/>
      <c r="J18" s="62">
        <f>VLOOKUP($D18,Targets,8)</f>
        <v>0</v>
      </c>
      <c r="K18" s="67"/>
      <c r="L18" s="64" t="s">
        <v>35</v>
      </c>
    </row>
    <row r="19" spans="1:12" ht="18" customHeight="1">
      <c r="A19" s="56"/>
      <c r="B19" s="57" t="str">
        <f>Actuals!I1</f>
        <v>Customer Measure 2</v>
      </c>
      <c r="C19" s="58"/>
      <c r="D19" s="59">
        <f t="shared" si="2"/>
        <v>36161</v>
      </c>
      <c r="E19" s="59"/>
      <c r="F19" s="60">
        <f t="shared" si="3"/>
      </c>
      <c r="G19" s="61"/>
      <c r="H19" s="62">
        <f>VLOOKUP($D19,Actuals,9)</f>
        <v>0</v>
      </c>
      <c r="I19" s="63"/>
      <c r="J19" s="62">
        <f>VLOOKUP($D19,Targets,9)</f>
        <v>0</v>
      </c>
      <c r="K19" s="67"/>
      <c r="L19" s="64" t="s">
        <v>38</v>
      </c>
    </row>
    <row r="20" spans="2:12" ht="18" customHeight="1">
      <c r="B20" s="57" t="str">
        <f>Actuals!J1</f>
        <v>Customer Measure 3</v>
      </c>
      <c r="D20" s="59">
        <f t="shared" si="2"/>
        <v>36161</v>
      </c>
      <c r="E20" s="72"/>
      <c r="F20" s="60">
        <f t="shared" si="3"/>
      </c>
      <c r="G20" s="73"/>
      <c r="H20" s="62">
        <f>VLOOKUP($D20,Actuals,10)</f>
        <v>0</v>
      </c>
      <c r="I20" s="63"/>
      <c r="J20" s="62">
        <f>VLOOKUP($D20,Targets,10)</f>
        <v>0</v>
      </c>
      <c r="K20" s="74"/>
      <c r="L20" s="58"/>
    </row>
    <row r="21" spans="2:12" ht="18" customHeight="1">
      <c r="B21" s="57" t="str">
        <f>Actuals!K1</f>
        <v>Customer Measure 4</v>
      </c>
      <c r="D21" s="59">
        <f t="shared" si="2"/>
        <v>36161</v>
      </c>
      <c r="E21" s="72"/>
      <c r="F21" s="60">
        <f t="shared" si="3"/>
      </c>
      <c r="G21" s="75"/>
      <c r="H21" s="62">
        <f>VLOOKUP($D21,Actuals,11)</f>
        <v>0</v>
      </c>
      <c r="I21" s="63"/>
      <c r="J21" s="62">
        <f>VLOOKUP($D21,Targets,11)</f>
        <v>0</v>
      </c>
      <c r="K21" s="74"/>
      <c r="L21" s="58"/>
    </row>
    <row r="22" spans="2:12" ht="18" customHeight="1">
      <c r="B22" s="57" t="str">
        <f>Actuals!L1</f>
        <v>Customer Measure 5</v>
      </c>
      <c r="D22" s="59">
        <f t="shared" si="2"/>
        <v>36161</v>
      </c>
      <c r="E22" s="72"/>
      <c r="F22" s="60">
        <f t="shared" si="3"/>
      </c>
      <c r="G22" s="73"/>
      <c r="H22" s="62">
        <f>VLOOKUP($D22,Actuals,12)</f>
        <v>0</v>
      </c>
      <c r="I22" s="63"/>
      <c r="J22" s="62">
        <f>VLOOKUP($D22,Targets,12)</f>
        <v>0</v>
      </c>
      <c r="K22" s="76"/>
      <c r="L22" s="58"/>
    </row>
    <row r="23" spans="2:12" ht="18" customHeight="1">
      <c r="B23" s="57" t="str">
        <f>Actuals!M1</f>
        <v>Customer Measure 6</v>
      </c>
      <c r="D23" s="59">
        <f t="shared" si="2"/>
        <v>36161</v>
      </c>
      <c r="E23" s="9"/>
      <c r="F23" s="60">
        <f t="shared" si="3"/>
      </c>
      <c r="G23" s="75"/>
      <c r="H23" s="62">
        <f>VLOOKUP($D23,Actuals,13)</f>
        <v>0</v>
      </c>
      <c r="I23" s="63"/>
      <c r="J23" s="62">
        <f>VLOOKUP($D23,Targets,13)</f>
        <v>0</v>
      </c>
      <c r="K23" s="71"/>
      <c r="L23" s="58"/>
    </row>
    <row r="24" spans="1:12" s="50" customFormat="1" ht="19.5" customHeight="1">
      <c r="A24" s="45"/>
      <c r="B24" s="46" t="s">
        <v>39</v>
      </c>
      <c r="C24" s="46"/>
      <c r="D24" s="47"/>
      <c r="E24" s="47"/>
      <c r="F24" s="48"/>
      <c r="G24" s="48"/>
      <c r="H24" s="49"/>
      <c r="I24" s="49"/>
      <c r="J24" s="48"/>
      <c r="K24" s="48"/>
      <c r="L24" s="48"/>
    </row>
    <row r="25" spans="2:12" ht="18" customHeight="1" thickBot="1">
      <c r="B25" s="51" t="s">
        <v>31</v>
      </c>
      <c r="C25" s="51"/>
      <c r="D25" s="52" t="s">
        <v>32</v>
      </c>
      <c r="E25" s="52"/>
      <c r="F25" s="53" t="s">
        <v>37</v>
      </c>
      <c r="G25" s="54"/>
      <c r="H25" s="52" t="s">
        <v>33</v>
      </c>
      <c r="I25" s="52"/>
      <c r="J25" s="52" t="s">
        <v>34</v>
      </c>
      <c r="K25" s="77"/>
      <c r="L25" s="58"/>
    </row>
    <row r="26" spans="2:12" ht="18" customHeight="1">
      <c r="B26" s="5" t="str">
        <f>Actuals!N1</f>
        <v>Process Measure 1</v>
      </c>
      <c r="D26" s="59">
        <f aca="true" t="shared" si="4" ref="D26:D31">$J$4</f>
        <v>36161</v>
      </c>
      <c r="E26" s="9"/>
      <c r="F26" s="60">
        <f aca="true" t="shared" si="5" ref="F26:F31">IF(H26=0,"",IF(J26=0,"",(100+(H26-J26)/J26*100)))</f>
      </c>
      <c r="G26" s="75"/>
      <c r="H26" s="62">
        <f>VLOOKUP($D26,Actuals,14)</f>
        <v>0</v>
      </c>
      <c r="I26" s="63"/>
      <c r="J26" s="62">
        <f>VLOOKUP($D26,Targets,14)</f>
        <v>0</v>
      </c>
      <c r="K26" s="71"/>
      <c r="L26" s="58"/>
    </row>
    <row r="27" spans="2:12" ht="18" customHeight="1">
      <c r="B27" s="5" t="str">
        <f>Actuals!O1</f>
        <v>Process Measure 2</v>
      </c>
      <c r="D27" s="59">
        <f t="shared" si="4"/>
        <v>36161</v>
      </c>
      <c r="E27" s="9"/>
      <c r="F27" s="60">
        <f t="shared" si="5"/>
      </c>
      <c r="G27" s="75"/>
      <c r="H27" s="62">
        <f>VLOOKUP($D27,Actuals,15)</f>
        <v>0</v>
      </c>
      <c r="I27" s="63"/>
      <c r="J27" s="62">
        <f>VLOOKUP($D27,Targets,15)</f>
        <v>0</v>
      </c>
      <c r="K27" s="78"/>
      <c r="L27" s="58"/>
    </row>
    <row r="28" spans="2:12" ht="18" customHeight="1">
      <c r="B28" s="5" t="str">
        <f>Actuals!P1</f>
        <v>Process Measure 3</v>
      </c>
      <c r="D28" s="59">
        <f t="shared" si="4"/>
        <v>36161</v>
      </c>
      <c r="E28" s="9"/>
      <c r="F28" s="60">
        <f t="shared" si="5"/>
      </c>
      <c r="G28" s="75"/>
      <c r="H28" s="62">
        <f>VLOOKUP($D28,Actuals,16)</f>
        <v>0</v>
      </c>
      <c r="I28" s="63"/>
      <c r="J28" s="62">
        <f>VLOOKUP($D28,Targets,16)</f>
        <v>0</v>
      </c>
      <c r="K28" s="78"/>
      <c r="L28" s="58"/>
    </row>
    <row r="29" spans="2:12" ht="18" customHeight="1">
      <c r="B29" s="5" t="str">
        <f>Actuals!Q1</f>
        <v>Process Measure 4</v>
      </c>
      <c r="D29" s="59">
        <f t="shared" si="4"/>
        <v>36161</v>
      </c>
      <c r="E29" s="9"/>
      <c r="F29" s="60">
        <f t="shared" si="5"/>
      </c>
      <c r="G29" s="75"/>
      <c r="H29" s="62">
        <f>VLOOKUP($D29,Actuals,17)</f>
        <v>0</v>
      </c>
      <c r="I29" s="63"/>
      <c r="J29" s="62">
        <f>VLOOKUP($D29,Targets,17)</f>
        <v>0</v>
      </c>
      <c r="K29" s="78"/>
      <c r="L29" s="58"/>
    </row>
    <row r="30" spans="2:12" ht="18" customHeight="1">
      <c r="B30" s="5" t="str">
        <f>Actuals!R1</f>
        <v>Process Measure 5</v>
      </c>
      <c r="D30" s="59">
        <f t="shared" si="4"/>
        <v>36161</v>
      </c>
      <c r="E30" s="9"/>
      <c r="F30" s="60">
        <f t="shared" si="5"/>
      </c>
      <c r="G30" s="75"/>
      <c r="H30" s="62">
        <f>VLOOKUP($D30,Actuals,18)</f>
        <v>0</v>
      </c>
      <c r="I30" s="63"/>
      <c r="J30" s="62">
        <f>VLOOKUP($D30,Targets,18)</f>
        <v>0</v>
      </c>
      <c r="K30" s="78"/>
      <c r="L30" s="58"/>
    </row>
    <row r="31" spans="2:12" ht="18" customHeight="1">
      <c r="B31" s="5" t="str">
        <f>Actuals!S1</f>
        <v>Process Measure 6</v>
      </c>
      <c r="D31" s="59">
        <f t="shared" si="4"/>
        <v>36161</v>
      </c>
      <c r="E31" s="9"/>
      <c r="F31" s="60">
        <f t="shared" si="5"/>
      </c>
      <c r="G31" s="75"/>
      <c r="H31" s="62">
        <f>VLOOKUP($D31,Actuals,19)</f>
        <v>0</v>
      </c>
      <c r="I31" s="63"/>
      <c r="J31" s="62">
        <f>VLOOKUP($D31,Targets,19)</f>
        <v>0</v>
      </c>
      <c r="K31" s="78"/>
      <c r="L31" s="58"/>
    </row>
    <row r="32" spans="1:12" s="50" customFormat="1" ht="19.5" customHeight="1">
      <c r="A32" s="45"/>
      <c r="B32" s="46" t="s">
        <v>40</v>
      </c>
      <c r="C32" s="46"/>
      <c r="D32" s="47"/>
      <c r="E32" s="47"/>
      <c r="F32" s="48"/>
      <c r="G32" s="48"/>
      <c r="H32" s="49"/>
      <c r="I32" s="49"/>
      <c r="J32" s="48"/>
      <c r="K32" s="48"/>
      <c r="L32" s="48"/>
    </row>
    <row r="33" spans="2:12" ht="18" customHeight="1" thickBot="1">
      <c r="B33" s="51" t="s">
        <v>31</v>
      </c>
      <c r="C33" s="51"/>
      <c r="D33" s="52" t="s">
        <v>32</v>
      </c>
      <c r="E33" s="52"/>
      <c r="F33" s="53" t="s">
        <v>37</v>
      </c>
      <c r="G33" s="54"/>
      <c r="H33" s="52" t="s">
        <v>33</v>
      </c>
      <c r="I33" s="52"/>
      <c r="J33" s="52" t="s">
        <v>34</v>
      </c>
      <c r="K33" s="77"/>
      <c r="L33" s="58"/>
    </row>
    <row r="34" spans="2:12" ht="18" customHeight="1">
      <c r="B34" s="5" t="str">
        <f>Actuals!T1</f>
        <v>Learning Measure 1</v>
      </c>
      <c r="D34" s="59">
        <f aca="true" t="shared" si="6" ref="D34:D39">$J$4</f>
        <v>36161</v>
      </c>
      <c r="E34" s="9"/>
      <c r="F34" s="60">
        <f aca="true" t="shared" si="7" ref="F34:F39">IF(H34=0,"",IF(J34=0,"",(100+(H34-J34)/J34*100)))</f>
      </c>
      <c r="G34" s="73"/>
      <c r="H34" s="62">
        <f>VLOOKUP($D34,Actuals,20)</f>
        <v>0</v>
      </c>
      <c r="I34" s="63"/>
      <c r="J34" s="62">
        <f>VLOOKUP($D34,Targets,20)</f>
        <v>0</v>
      </c>
      <c r="K34" s="79"/>
      <c r="L34" s="58"/>
    </row>
    <row r="35" spans="2:12" ht="18" customHeight="1">
      <c r="B35" s="5" t="str">
        <f>Actuals!U1</f>
        <v>Learning Measure 2</v>
      </c>
      <c r="D35" s="59">
        <f t="shared" si="6"/>
        <v>36161</v>
      </c>
      <c r="E35" s="9"/>
      <c r="F35" s="60">
        <f t="shared" si="7"/>
      </c>
      <c r="G35" s="75"/>
      <c r="H35" s="62">
        <f>VLOOKUP($D35,Actuals,21)</f>
        <v>0</v>
      </c>
      <c r="I35" s="63"/>
      <c r="J35" s="62">
        <f>VLOOKUP($D35,Targets,21)</f>
        <v>0</v>
      </c>
      <c r="K35" s="71"/>
      <c r="L35" s="58"/>
    </row>
    <row r="36" spans="2:12" ht="18" customHeight="1">
      <c r="B36" s="5" t="str">
        <f>Actuals!V1</f>
        <v>Learning Measure 3</v>
      </c>
      <c r="D36" s="59">
        <f t="shared" si="6"/>
        <v>36161</v>
      </c>
      <c r="E36" s="9"/>
      <c r="F36" s="60">
        <f t="shared" si="7"/>
      </c>
      <c r="G36" s="75"/>
      <c r="H36" s="62">
        <f>VLOOKUP($D36,Actuals,22)</f>
        <v>0</v>
      </c>
      <c r="I36" s="63"/>
      <c r="J36" s="62">
        <f>VLOOKUP($D36,Targets,22)</f>
        <v>0</v>
      </c>
      <c r="K36" s="71"/>
      <c r="L36" s="58"/>
    </row>
    <row r="37" spans="2:12" ht="18" customHeight="1">
      <c r="B37" s="5" t="str">
        <f>Actuals!W1</f>
        <v>Learning Measure 4</v>
      </c>
      <c r="D37" s="59">
        <f t="shared" si="6"/>
        <v>36161</v>
      </c>
      <c r="E37" s="9"/>
      <c r="F37" s="60">
        <f t="shared" si="7"/>
      </c>
      <c r="G37" s="75"/>
      <c r="H37" s="62">
        <f>VLOOKUP($D37,Actuals,23)</f>
        <v>0</v>
      </c>
      <c r="I37" s="63"/>
      <c r="J37" s="62">
        <f>VLOOKUP($D37,Targets,23)</f>
        <v>0</v>
      </c>
      <c r="K37" s="71"/>
      <c r="L37" s="58"/>
    </row>
    <row r="38" spans="2:12" ht="18" customHeight="1">
      <c r="B38" s="5" t="str">
        <f>Actuals!X1</f>
        <v>Learning Measure 5</v>
      </c>
      <c r="D38" s="59">
        <f t="shared" si="6"/>
        <v>36161</v>
      </c>
      <c r="E38" s="9"/>
      <c r="F38" s="60">
        <f t="shared" si="7"/>
      </c>
      <c r="G38" s="75"/>
      <c r="H38" s="62">
        <f>VLOOKUP($D38,Actuals,24)</f>
        <v>0</v>
      </c>
      <c r="I38" s="63"/>
      <c r="J38" s="62">
        <f>VLOOKUP($D38,Targets,24)</f>
        <v>0</v>
      </c>
      <c r="K38" s="71"/>
      <c r="L38" s="58"/>
    </row>
    <row r="39" spans="2:12" ht="18" customHeight="1">
      <c r="B39" s="5" t="str">
        <f>Actuals!Y1</f>
        <v>Learning Measure 6</v>
      </c>
      <c r="D39" s="59">
        <f t="shared" si="6"/>
        <v>36161</v>
      </c>
      <c r="E39" s="9"/>
      <c r="F39" s="60">
        <f t="shared" si="7"/>
      </c>
      <c r="G39" s="75"/>
      <c r="H39" s="62">
        <f>VLOOKUP($D39,Actuals,25)</f>
        <v>0</v>
      </c>
      <c r="I39" s="63"/>
      <c r="J39" s="62">
        <f>VLOOKUP($D39,Targets,25)</f>
        <v>0</v>
      </c>
      <c r="K39" s="71"/>
      <c r="L39" s="58"/>
    </row>
  </sheetData>
  <sheetProtection/>
  <mergeCells count="1">
    <mergeCell ref="J4:L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0" sqref="O20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Indianapolis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Knapp</dc:creator>
  <cp:keywords/>
  <dc:description/>
  <cp:lastModifiedBy>DELL</cp:lastModifiedBy>
  <dcterms:created xsi:type="dcterms:W3CDTF">2000-11-14T13:08:12Z</dcterms:created>
  <dcterms:modified xsi:type="dcterms:W3CDTF">2022-01-21T09:22:07Z</dcterms:modified>
  <cp:category/>
  <cp:version/>
  <cp:contentType/>
  <cp:contentStatus/>
</cp:coreProperties>
</file>