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c59d26007825bb6/Desktop/house hold budget sheet/"/>
    </mc:Choice>
  </mc:AlternateContent>
  <xr:revisionPtr revIDLastSave="60" documentId="8_{9ACC99DF-667D-4BE9-86B8-56644301CB8E}" xr6:coauthVersionLast="47" xr6:coauthVersionMax="47" xr10:uidLastSave="{856CB0E0-02A3-43AC-A793-E2BF04BB6AB8}"/>
  <bookViews>
    <workbookView xWindow="5115" yWindow="1140" windowWidth="15285" windowHeight="15060" xr2:uid="{00000000-000D-0000-FFFF-FFFF00000000}"/>
  </bookViews>
  <sheets>
    <sheet name="PERSONAL BUDGET" sheetId="1" r:id="rId1"/>
  </sheets>
  <definedNames>
    <definedName name="LastCol">COUNTA('PERSONAL BUDGET'!$4:$4)+1</definedName>
    <definedName name="PrintArea_SET">OFFSET('PERSONAL BUDGET'!$B$2,,,MATCH(REPT("z",255),'PERSONAL BUDGET'!$B:$B),LastCol)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3" i="1"/>
  <c r="O15" i="1"/>
  <c r="O14" i="1"/>
  <c r="D103" i="1" l="1"/>
  <c r="E103" i="1"/>
  <c r="F103" i="1"/>
  <c r="G103" i="1"/>
  <c r="H103" i="1"/>
  <c r="I103" i="1"/>
  <c r="J103" i="1"/>
  <c r="K103" i="1"/>
  <c r="L103" i="1"/>
  <c r="M103" i="1"/>
  <c r="N103" i="1"/>
  <c r="C103" i="1"/>
  <c r="D95" i="1"/>
  <c r="E95" i="1"/>
  <c r="F95" i="1"/>
  <c r="G95" i="1"/>
  <c r="H95" i="1"/>
  <c r="I95" i="1"/>
  <c r="J95" i="1"/>
  <c r="K95" i="1"/>
  <c r="L95" i="1"/>
  <c r="M95" i="1"/>
  <c r="N95" i="1"/>
  <c r="C95" i="1"/>
  <c r="D87" i="1"/>
  <c r="E87" i="1"/>
  <c r="F87" i="1"/>
  <c r="G87" i="1"/>
  <c r="H87" i="1"/>
  <c r="I87" i="1"/>
  <c r="J87" i="1"/>
  <c r="K87" i="1"/>
  <c r="L87" i="1"/>
  <c r="M87" i="1"/>
  <c r="N87" i="1"/>
  <c r="C87" i="1"/>
  <c r="D79" i="1"/>
  <c r="E79" i="1"/>
  <c r="F79" i="1"/>
  <c r="G79" i="1"/>
  <c r="H79" i="1"/>
  <c r="I79" i="1"/>
  <c r="J79" i="1"/>
  <c r="K79" i="1"/>
  <c r="L79" i="1"/>
  <c r="M79" i="1"/>
  <c r="N79" i="1"/>
  <c r="C79" i="1"/>
  <c r="D69" i="1"/>
  <c r="E69" i="1"/>
  <c r="F69" i="1"/>
  <c r="G69" i="1"/>
  <c r="H69" i="1"/>
  <c r="I69" i="1"/>
  <c r="J69" i="1"/>
  <c r="K69" i="1"/>
  <c r="L69" i="1"/>
  <c r="M69" i="1"/>
  <c r="N69" i="1"/>
  <c r="C69" i="1"/>
  <c r="D62" i="1"/>
  <c r="E62" i="1"/>
  <c r="F62" i="1"/>
  <c r="G62" i="1"/>
  <c r="H62" i="1"/>
  <c r="I62" i="1"/>
  <c r="J62" i="1"/>
  <c r="K62" i="1"/>
  <c r="L62" i="1"/>
  <c r="M62" i="1"/>
  <c r="N62" i="1"/>
  <c r="C62" i="1"/>
  <c r="D53" i="1"/>
  <c r="E53" i="1"/>
  <c r="F53" i="1"/>
  <c r="G53" i="1"/>
  <c r="H53" i="1"/>
  <c r="I53" i="1"/>
  <c r="J53" i="1"/>
  <c r="K53" i="1"/>
  <c r="L53" i="1"/>
  <c r="M53" i="1"/>
  <c r="N53" i="1"/>
  <c r="C53" i="1"/>
  <c r="O99" i="1"/>
  <c r="O100" i="1"/>
  <c r="O101" i="1"/>
  <c r="O102" i="1"/>
  <c r="O98" i="1"/>
  <c r="O91" i="1"/>
  <c r="O92" i="1"/>
  <c r="O93" i="1"/>
  <c r="O94" i="1"/>
  <c r="O90" i="1"/>
  <c r="O83" i="1"/>
  <c r="O84" i="1"/>
  <c r="O85" i="1"/>
  <c r="O86" i="1"/>
  <c r="O82" i="1"/>
  <c r="O73" i="1"/>
  <c r="O74" i="1"/>
  <c r="O75" i="1"/>
  <c r="O76" i="1"/>
  <c r="O77" i="1"/>
  <c r="O78" i="1"/>
  <c r="O72" i="1"/>
  <c r="O66" i="1"/>
  <c r="O67" i="1"/>
  <c r="O68" i="1"/>
  <c r="O65" i="1"/>
  <c r="O57" i="1"/>
  <c r="O58" i="1"/>
  <c r="O59" i="1"/>
  <c r="O60" i="1"/>
  <c r="O61" i="1"/>
  <c r="O56" i="1"/>
  <c r="O47" i="1"/>
  <c r="O48" i="1"/>
  <c r="O49" i="1"/>
  <c r="O50" i="1"/>
  <c r="O51" i="1"/>
  <c r="O52" i="1"/>
  <c r="O46" i="1"/>
  <c r="D43" i="1"/>
  <c r="E43" i="1"/>
  <c r="F43" i="1"/>
  <c r="G43" i="1"/>
  <c r="H43" i="1"/>
  <c r="I43" i="1"/>
  <c r="J43" i="1"/>
  <c r="K43" i="1"/>
  <c r="L43" i="1"/>
  <c r="M43" i="1"/>
  <c r="N43" i="1"/>
  <c r="C43" i="1"/>
  <c r="O40" i="1"/>
  <c r="O41" i="1"/>
  <c r="O42" i="1"/>
  <c r="O39" i="1"/>
  <c r="D36" i="1"/>
  <c r="E36" i="1"/>
  <c r="F36" i="1"/>
  <c r="G36" i="1"/>
  <c r="H36" i="1"/>
  <c r="I36" i="1"/>
  <c r="J36" i="1"/>
  <c r="K36" i="1"/>
  <c r="L36" i="1"/>
  <c r="M36" i="1"/>
  <c r="N36" i="1"/>
  <c r="C36" i="1"/>
  <c r="O31" i="1"/>
  <c r="O32" i="1"/>
  <c r="O33" i="1"/>
  <c r="O34" i="1"/>
  <c r="O35" i="1"/>
  <c r="O30" i="1"/>
  <c r="D27" i="1"/>
  <c r="E27" i="1"/>
  <c r="F27" i="1"/>
  <c r="G27" i="1"/>
  <c r="H27" i="1"/>
  <c r="I27" i="1"/>
  <c r="J27" i="1"/>
  <c r="K27" i="1"/>
  <c r="L27" i="1"/>
  <c r="M27" i="1"/>
  <c r="N27" i="1"/>
  <c r="C27" i="1"/>
  <c r="O22" i="1"/>
  <c r="O23" i="1"/>
  <c r="O24" i="1"/>
  <c r="O25" i="1"/>
  <c r="O26" i="1"/>
  <c r="O21" i="1"/>
  <c r="D18" i="1"/>
  <c r="E18" i="1"/>
  <c r="F18" i="1"/>
  <c r="G18" i="1"/>
  <c r="H18" i="1"/>
  <c r="I18" i="1"/>
  <c r="J18" i="1"/>
  <c r="K18" i="1"/>
  <c r="L18" i="1"/>
  <c r="M18" i="1"/>
  <c r="N18" i="1"/>
  <c r="C18" i="1"/>
  <c r="O43" i="1" l="1"/>
  <c r="O95" i="1"/>
  <c r="O87" i="1"/>
  <c r="O79" i="1"/>
  <c r="O69" i="1"/>
  <c r="O62" i="1"/>
  <c r="O53" i="1"/>
  <c r="O36" i="1"/>
  <c r="O27" i="1"/>
  <c r="O18" i="1"/>
  <c r="O103" i="1"/>
  <c r="N9" i="1"/>
  <c r="F9" i="1"/>
  <c r="K9" i="1"/>
  <c r="M9" i="1"/>
  <c r="E9" i="1"/>
  <c r="D9" i="1"/>
  <c r="H9" i="1"/>
  <c r="G9" i="1"/>
  <c r="C9" i="1"/>
  <c r="L9" i="1"/>
  <c r="J9" i="1"/>
  <c r="O8" i="1"/>
  <c r="O7" i="1"/>
  <c r="I9" i="1"/>
  <c r="O6" i="1"/>
  <c r="O9" i="1" l="1"/>
</calcChain>
</file>

<file path=xl/sharedStrings.xml><?xml version="1.0" encoding="utf-8"?>
<sst xmlns="http://schemas.openxmlformats.org/spreadsheetml/2006/main" count="284" uniqueCount="99">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</sst>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/>
      <sz val="44"/>
      <name val="Century Gothic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0"/>
        <bgColor auto="1"/>
      </patternFill>
    </fill>
    <fill>
      <patternFill patternType="solid">
        <fgColor rgb="FFF7F7F7"/>
        <bgColor indexed="64"/>
      </patternFill>
    </fill>
    <fill>
      <patternFill patternType="solid">
        <fgColor rgb="FFD36D01"/>
        <bgColor indexed="64"/>
      </patternFill>
    </fill>
    <fill>
      <patternFill patternType="solid">
        <fgColor rgb="FFFFE3C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rgb="FFD36D01"/>
      </bottom>
      <diagonal/>
    </border>
  </borders>
  <cellStyleXfs count="5">
    <xf numFmtId="0" fontId="0" fillId="4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3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21">
    <xf numFmtId="0" fontId="0" fillId="4" borderId="0" xfId="0">
      <alignment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5" borderId="0" xfId="2" applyFont="1" applyFill="1" applyBorder="1" applyAlignment="1">
      <alignment horizontal="right" vertical="center"/>
    </xf>
    <xf numFmtId="0" fontId="5" fillId="5" borderId="0" xfId="2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5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435"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top style="double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solid">
          <fgColor indexed="64"/>
          <bgColor rgb="FFFFE3C5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34"/>
      <tableStyleElement type="headerRow" dxfId="433"/>
      <tableStyleElement type="totalRow" dxfId="432"/>
      <tableStyleElement type="firstColumn" dxfId="431"/>
      <tableStyleElement type="lastColumn" dxfId="430"/>
      <tableStyleElement type="firstRowStripe" dxfId="429"/>
      <tableStyleElement type="firstColumnStripe" dxfId="428"/>
      <tableStyleElement type="firstTotalCell" dxfId="427"/>
      <tableStyleElement type="lastTotalCell" dxfId="426"/>
    </tableStyle>
    <tableStyle name="Personal Budget - Expense" pivot="0" count="9" xr9:uid="{00000000-0011-0000-FFFF-FFFF01000000}">
      <tableStyleElement type="wholeTable" dxfId="425"/>
      <tableStyleElement type="headerRow" dxfId="424"/>
      <tableStyleElement type="totalRow" dxfId="423"/>
      <tableStyleElement type="firstColumn" dxfId="422"/>
      <tableStyleElement type="lastColumn" dxfId="421"/>
      <tableStyleElement type="firstRowStripe" dxfId="420"/>
      <tableStyleElement type="firstColumnStripe" dxfId="419"/>
      <tableStyleElement type="firstTotalCell" dxfId="418"/>
      <tableStyleElement type="lastTotalCell" dxfId="417"/>
    </tableStyle>
    <tableStyle name="Personal Budget - Total" pivot="0" count="9" xr9:uid="{00000000-0011-0000-FFFF-FFFF02000000}">
      <tableStyleElement type="wholeTable" dxfId="416"/>
      <tableStyleElement type="headerRow" dxfId="415"/>
      <tableStyleElement type="totalRow" dxfId="414"/>
      <tableStyleElement type="firstColumn" dxfId="413"/>
      <tableStyleElement type="lastColumn" dxfId="412"/>
      <tableStyleElement type="firstRowStripe" dxfId="411"/>
      <tableStyleElement type="firstColumnStripe" dxfId="410"/>
      <tableStyleElement type="firstTotalCell" dxfId="409"/>
      <tableStyleElement type="lastTotalCell" dxfId="408"/>
    </tableStyle>
  </tableStyles>
  <colors>
    <mruColors>
      <color rgb="FFFFE3C5"/>
      <color rgb="FFD36D01"/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B5:P9" totalsRowCount="1" headerRowDxfId="407" dataDxfId="406" totalsRowDxfId="405" totalsRowBorderDxfId="404">
  <autoFilter ref="B5:P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dataDxfId="403" totalsRowDxfId="402"/>
    <tableColumn id="2" xr3:uid="{00000000-0010-0000-0000-000002000000}" name="January" totalsRowFunction="sum" dataDxfId="401" totalsRowDxfId="400"/>
    <tableColumn id="3" xr3:uid="{00000000-0010-0000-0000-000003000000}" name="February" totalsRowFunction="sum" dataDxfId="399" totalsRowDxfId="398"/>
    <tableColumn id="4" xr3:uid="{00000000-0010-0000-0000-000004000000}" name="March" totalsRowFunction="sum" dataDxfId="397" totalsRowDxfId="396"/>
    <tableColumn id="5" xr3:uid="{00000000-0010-0000-0000-000005000000}" name="April" totalsRowFunction="sum" dataDxfId="395" totalsRowDxfId="394"/>
    <tableColumn id="6" xr3:uid="{00000000-0010-0000-0000-000006000000}" name="May" totalsRowFunction="sum" dataDxfId="393" totalsRowDxfId="392"/>
    <tableColumn id="7" xr3:uid="{00000000-0010-0000-0000-000007000000}" name="June" totalsRowFunction="sum" dataDxfId="391" totalsRowDxfId="390"/>
    <tableColumn id="8" xr3:uid="{00000000-0010-0000-0000-000008000000}" name="July" totalsRowFunction="sum" dataDxfId="389" totalsRowDxfId="388"/>
    <tableColumn id="9" xr3:uid="{00000000-0010-0000-0000-000009000000}" name="August" totalsRowFunction="sum" dataDxfId="387" totalsRowDxfId="386"/>
    <tableColumn id="10" xr3:uid="{00000000-0010-0000-0000-00000A000000}" name="September" totalsRowFunction="sum" dataDxfId="385" totalsRowDxfId="384"/>
    <tableColumn id="11" xr3:uid="{00000000-0010-0000-0000-00000B000000}" name="October" totalsRowFunction="sum" dataDxfId="383" totalsRowDxfId="382"/>
    <tableColumn id="12" xr3:uid="{00000000-0010-0000-0000-00000C000000}" name="November" totalsRowFunction="sum" dataDxfId="381" totalsRowDxfId="380"/>
    <tableColumn id="13" xr3:uid="{00000000-0010-0000-0000-00000D000000}" name="December" totalsRowFunction="sum" dataDxfId="379" totalsRowDxfId="378"/>
    <tableColumn id="14" xr3:uid="{00000000-0010-0000-0000-00000E000000}" name="Year" totalsRowFunction="sum" dataDxfId="377" totalsRowDxfId="376">
      <calculatedColumnFormula>SUM(Income[[#This Row],[January]:[December]])</calculatedColumnFormula>
    </tableColumn>
    <tableColumn id="15" xr3:uid="{00000000-0010-0000-0000-00000F000000}" name="Sparkline" dataDxfId="375" totalsRowDxfId="37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B81:P87" totalsRowCount="1" headerRowDxfId="101" dataDxfId="100" totalsRowDxfId="99" totalsRowBorderDxfId="98">
  <autoFilter ref="B81:P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97" totalsRowDxfId="96"/>
    <tableColumn id="2" xr3:uid="{00000000-0010-0000-0900-000002000000}" name="January" totalsRowFunction="sum" dataDxfId="95" totalsRowDxfId="94"/>
    <tableColumn id="3" xr3:uid="{00000000-0010-0000-0900-000003000000}" name="February" totalsRowFunction="sum" dataDxfId="93" totalsRowDxfId="92"/>
    <tableColumn id="4" xr3:uid="{00000000-0010-0000-0900-000004000000}" name="March" totalsRowFunction="sum" dataDxfId="91" totalsRowDxfId="90"/>
    <tableColumn id="5" xr3:uid="{00000000-0010-0000-0900-000005000000}" name="April" totalsRowFunction="sum" dataDxfId="89" totalsRowDxfId="88"/>
    <tableColumn id="6" xr3:uid="{00000000-0010-0000-0900-000006000000}" name="May" totalsRowFunction="sum" dataDxfId="87" totalsRowDxfId="86"/>
    <tableColumn id="7" xr3:uid="{00000000-0010-0000-0900-000007000000}" name="June" totalsRowFunction="sum" dataDxfId="85" totalsRowDxfId="84"/>
    <tableColumn id="8" xr3:uid="{00000000-0010-0000-0900-000008000000}" name="July" totalsRowFunction="sum" dataDxfId="83" totalsRowDxfId="82"/>
    <tableColumn id="9" xr3:uid="{00000000-0010-0000-0900-000009000000}" name="August" totalsRowFunction="sum" dataDxfId="81" totalsRowDxfId="80"/>
    <tableColumn id="10" xr3:uid="{00000000-0010-0000-0900-00000A000000}" name="September" totalsRowFunction="sum" dataDxfId="79" totalsRowDxfId="78"/>
    <tableColumn id="11" xr3:uid="{00000000-0010-0000-0900-00000B000000}" name="October" totalsRowFunction="sum" dataDxfId="77" totalsRowDxfId="76"/>
    <tableColumn id="12" xr3:uid="{00000000-0010-0000-0900-00000C000000}" name="November" totalsRowFunction="sum" dataDxfId="75" totalsRowDxfId="74"/>
    <tableColumn id="13" xr3:uid="{00000000-0010-0000-0900-00000D000000}" name="December" totalsRowFunction="sum" dataDxfId="73" totalsRowDxfId="72"/>
    <tableColumn id="14" xr3:uid="{00000000-0010-0000-0900-00000E000000}" name="Year" totalsRowFunction="sum" dataDxfId="71" totalsRowDxfId="70">
      <calculatedColumnFormula>SUM(Personal[[#This Row],[January]:[December]])</calculatedColumnFormula>
    </tableColumn>
    <tableColumn id="15" xr3:uid="{00000000-0010-0000-0900-00000F000000}" name="Sparkline" dataDxfId="69" totalsRowDxfId="6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B89:P95" totalsRowCount="1" headerRowDxfId="67" dataDxfId="66" totalsRowDxfId="65" totalsRowBorderDxfId="64">
  <autoFilter ref="B89:P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63" totalsRowDxfId="62"/>
    <tableColumn id="2" xr3:uid="{00000000-0010-0000-0A00-000002000000}" name="January" totalsRowFunction="sum" dataDxfId="61" totalsRowDxfId="60"/>
    <tableColumn id="3" xr3:uid="{00000000-0010-0000-0A00-000003000000}" name="February" totalsRowFunction="sum" dataDxfId="59" totalsRowDxfId="58"/>
    <tableColumn id="4" xr3:uid="{00000000-0010-0000-0A00-000004000000}" name="March" totalsRowFunction="sum" dataDxfId="57" totalsRowDxfId="56"/>
    <tableColumn id="5" xr3:uid="{00000000-0010-0000-0A00-000005000000}" name="April" totalsRowFunction="sum" dataDxfId="55" totalsRowDxfId="54"/>
    <tableColumn id="6" xr3:uid="{00000000-0010-0000-0A00-000006000000}" name="May" totalsRowFunction="sum" dataDxfId="53" totalsRowDxfId="52"/>
    <tableColumn id="7" xr3:uid="{00000000-0010-0000-0A00-000007000000}" name="June" totalsRowFunction="sum" dataDxfId="51" totalsRowDxfId="50"/>
    <tableColumn id="8" xr3:uid="{00000000-0010-0000-0A00-000008000000}" name="July" totalsRowFunction="sum" dataDxfId="49" totalsRowDxfId="48"/>
    <tableColumn id="9" xr3:uid="{00000000-0010-0000-0A00-000009000000}" name="August" totalsRowFunction="sum" dataDxfId="47" totalsRowDxfId="46"/>
    <tableColumn id="10" xr3:uid="{00000000-0010-0000-0A00-00000A000000}" name="September" totalsRowFunction="sum" dataDxfId="45" totalsRowDxfId="44"/>
    <tableColumn id="11" xr3:uid="{00000000-0010-0000-0A00-00000B000000}" name="October" totalsRowFunction="sum" dataDxfId="43" totalsRowDxfId="42"/>
    <tableColumn id="12" xr3:uid="{00000000-0010-0000-0A00-00000C000000}" name="November" totalsRowFunction="sum" dataDxfId="41" totalsRowDxfId="40"/>
    <tableColumn id="13" xr3:uid="{00000000-0010-0000-0A00-00000D000000}" name="December" totalsRowFunction="sum" dataDxfId="39" totalsRowDxfId="38"/>
    <tableColumn id="14" xr3:uid="{00000000-0010-0000-0A00-00000E000000}" name="Year" totalsRowFunction="sum" dataDxfId="37" totalsRowDxfId="36">
      <calculatedColumnFormula>SUM(Financial[[#This Row],[January]:[December]])</calculatedColumnFormula>
    </tableColumn>
    <tableColumn id="15" xr3:uid="{00000000-0010-0000-0A00-00000F000000}" name="Sparkline" dataDxfId="35" totalsRowDxfId="3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Misc" displayName="Misc" ref="B97:P103" totalsRowCount="1" headerRowDxfId="33" dataDxfId="32" totalsRowDxfId="31" totalsRowBorderDxfId="30">
  <autoFilter ref="B97:P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MISC PAYMENTS" totalsRowLabel="Total" dataDxfId="29" totalsRowDxfId="28"/>
    <tableColumn id="2" xr3:uid="{00000000-0010-0000-0B00-000002000000}" name="January" totalsRowFunction="sum" dataDxfId="27" totalsRowDxfId="26"/>
    <tableColumn id="3" xr3:uid="{00000000-0010-0000-0B00-000003000000}" name="February" totalsRowFunction="sum" dataDxfId="25" totalsRowDxfId="24"/>
    <tableColumn id="4" xr3:uid="{00000000-0010-0000-0B00-000004000000}" name="March" totalsRowFunction="sum" dataDxfId="23" totalsRowDxfId="22"/>
    <tableColumn id="5" xr3:uid="{00000000-0010-0000-0B00-000005000000}" name="April" totalsRowFunction="sum" dataDxfId="21" totalsRowDxfId="20"/>
    <tableColumn id="6" xr3:uid="{00000000-0010-0000-0B00-000006000000}" name="May" totalsRowFunction="sum" dataDxfId="19" totalsRowDxfId="18"/>
    <tableColumn id="7" xr3:uid="{00000000-0010-0000-0B00-000007000000}" name="June" totalsRowFunction="sum" dataDxfId="17" totalsRowDxfId="16"/>
    <tableColumn id="8" xr3:uid="{00000000-0010-0000-0B00-000008000000}" name="July" totalsRowFunction="sum" dataDxfId="15" totalsRowDxfId="14"/>
    <tableColumn id="9" xr3:uid="{00000000-0010-0000-0B00-000009000000}" name="August" totalsRowFunction="sum" dataDxfId="13" totalsRowDxfId="12"/>
    <tableColumn id="10" xr3:uid="{00000000-0010-0000-0B00-00000A000000}" name="September" totalsRowFunction="sum" dataDxfId="11" totalsRowDxfId="10"/>
    <tableColumn id="11" xr3:uid="{00000000-0010-0000-0B00-00000B000000}" name="October" totalsRowFunction="sum" dataDxfId="9" totalsRowDxfId="8"/>
    <tableColumn id="12" xr3:uid="{00000000-0010-0000-0B00-00000C000000}" name="November" totalsRowFunction="sum" dataDxfId="7" totalsRowDxfId="6"/>
    <tableColumn id="13" xr3:uid="{00000000-0010-0000-0B00-00000D000000}" name="December" totalsRowFunction="sum" dataDxfId="5" totalsRowDxfId="4"/>
    <tableColumn id="14" xr3:uid="{00000000-0010-0000-0B00-00000E000000}" name="Year" totalsRowFunction="sum" dataDxfId="3" totalsRowDxfId="2">
      <calculatedColumnFormula>SUM(Misc[[#This Row],[January]:[December]])</calculatedColumnFormula>
    </tableColumn>
    <tableColumn id="15" xr3:uid="{00000000-0010-0000-0B00-00000F000000}" name="Sparkline" dataDxfId="1" totalsRow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 calculated and sparkline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B12:P18" totalsRowCount="1" headerRowDxfId="373" dataDxfId="372" totalsRowDxfId="371" totalsRowBorderDxfId="370">
  <autoFilter ref="B12:P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dataDxfId="369" totalsRowDxfId="368"/>
    <tableColumn id="2" xr3:uid="{00000000-0010-0000-0100-000002000000}" name="January" totalsRowFunction="sum" dataDxfId="367" totalsRowDxfId="366"/>
    <tableColumn id="3" xr3:uid="{00000000-0010-0000-0100-000003000000}" name="February" totalsRowFunction="sum" dataDxfId="365" totalsRowDxfId="364"/>
    <tableColumn id="4" xr3:uid="{00000000-0010-0000-0100-000004000000}" name="March" totalsRowFunction="sum" dataDxfId="363" totalsRowDxfId="362"/>
    <tableColumn id="5" xr3:uid="{00000000-0010-0000-0100-000005000000}" name="April" totalsRowFunction="sum" dataDxfId="361" totalsRowDxfId="360"/>
    <tableColumn id="6" xr3:uid="{00000000-0010-0000-0100-000006000000}" name="May" totalsRowFunction="sum" dataDxfId="359" totalsRowDxfId="358"/>
    <tableColumn id="7" xr3:uid="{00000000-0010-0000-0100-000007000000}" name="June" totalsRowFunction="sum" dataDxfId="357" totalsRowDxfId="356"/>
    <tableColumn id="8" xr3:uid="{00000000-0010-0000-0100-000008000000}" name="July" totalsRowFunction="sum" dataDxfId="355" totalsRowDxfId="354"/>
    <tableColumn id="9" xr3:uid="{00000000-0010-0000-0100-000009000000}" name="August" totalsRowFunction="sum" dataDxfId="353" totalsRowDxfId="352"/>
    <tableColumn id="10" xr3:uid="{00000000-0010-0000-0100-00000A000000}" name="September" totalsRowFunction="sum" dataDxfId="351" totalsRowDxfId="350"/>
    <tableColumn id="11" xr3:uid="{00000000-0010-0000-0100-00000B000000}" name="October" totalsRowFunction="sum" dataDxfId="349" totalsRowDxfId="348"/>
    <tableColumn id="12" xr3:uid="{00000000-0010-0000-0100-00000C000000}" name="November" totalsRowFunction="sum" dataDxfId="347" totalsRowDxfId="346"/>
    <tableColumn id="13" xr3:uid="{00000000-0010-0000-0100-00000D000000}" name="December" totalsRowFunction="sum" dataDxfId="345" totalsRowDxfId="344"/>
    <tableColumn id="14" xr3:uid="{00000000-0010-0000-0100-00000E000000}" name="Year" totalsRowFunction="sum" dataDxfId="343" totalsRowDxfId="342">
      <calculatedColumnFormula>SUM(Home[[#This Row],[January]:[December]])</calculatedColumnFormula>
    </tableColumn>
    <tableColumn id="15" xr3:uid="{00000000-0010-0000-0100-00000F000000}" name="Sparkline" dataDxfId="341" totalsRowDxfId="34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B20:P27" totalsRowCount="1" headerRowDxfId="339" dataDxfId="338" totalsRowDxfId="337" totalsRowBorderDxfId="336">
  <autoFilter ref="B20:P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dataDxfId="335" totalsRowDxfId="334"/>
    <tableColumn id="2" xr3:uid="{00000000-0010-0000-0200-000002000000}" name="January" totalsRowFunction="sum" dataDxfId="333" totalsRowDxfId="332"/>
    <tableColumn id="3" xr3:uid="{00000000-0010-0000-0200-000003000000}" name="February" totalsRowFunction="sum" dataDxfId="331" totalsRowDxfId="330"/>
    <tableColumn id="4" xr3:uid="{00000000-0010-0000-0200-000004000000}" name="March" totalsRowFunction="sum" dataDxfId="329" totalsRowDxfId="328"/>
    <tableColumn id="5" xr3:uid="{00000000-0010-0000-0200-000005000000}" name="April" totalsRowFunction="sum" dataDxfId="327" totalsRowDxfId="326"/>
    <tableColumn id="6" xr3:uid="{00000000-0010-0000-0200-000006000000}" name="May" totalsRowFunction="sum" dataDxfId="325" totalsRowDxfId="324"/>
    <tableColumn id="7" xr3:uid="{00000000-0010-0000-0200-000007000000}" name="June" totalsRowFunction="sum" dataDxfId="323" totalsRowDxfId="322"/>
    <tableColumn id="8" xr3:uid="{00000000-0010-0000-0200-000008000000}" name="July" totalsRowFunction="sum" dataDxfId="321" totalsRowDxfId="320"/>
    <tableColumn id="9" xr3:uid="{00000000-0010-0000-0200-000009000000}" name="August" totalsRowFunction="sum" dataDxfId="319" totalsRowDxfId="318"/>
    <tableColumn id="10" xr3:uid="{00000000-0010-0000-0200-00000A000000}" name="September" totalsRowFunction="sum" dataDxfId="317" totalsRowDxfId="316"/>
    <tableColumn id="11" xr3:uid="{00000000-0010-0000-0200-00000B000000}" name="October" totalsRowFunction="sum" dataDxfId="315" totalsRowDxfId="314"/>
    <tableColumn id="12" xr3:uid="{00000000-0010-0000-0200-00000C000000}" name="November" totalsRowFunction="sum" dataDxfId="313" totalsRowDxfId="312"/>
    <tableColumn id="13" xr3:uid="{00000000-0010-0000-0200-00000D000000}" name="December" totalsRowFunction="sum" dataDxfId="311" totalsRowDxfId="310"/>
    <tableColumn id="14" xr3:uid="{00000000-0010-0000-0200-00000E000000}" name="Year" totalsRowFunction="sum" dataDxfId="309" totalsRowDxfId="308">
      <calculatedColumnFormula>SUM(Daily[[#This Row],[January]:[December]])</calculatedColumnFormula>
    </tableColumn>
    <tableColumn id="15" xr3:uid="{00000000-0010-0000-0200-00000F000000}" name="Sparkline" dataDxfId="307" totalsRowDxfId="30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P36" totalsRowCount="1" headerRowDxfId="305" dataDxfId="304" totalsRowDxfId="303" totalsRowBorderDxfId="302">
  <autoFilter ref="B29:P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ATION" totalsRowLabel="Total" dataDxfId="301" totalsRowDxfId="300"/>
    <tableColumn id="2" xr3:uid="{00000000-0010-0000-0300-000002000000}" name="January" totalsRowFunction="sum" dataDxfId="299" totalsRowDxfId="298"/>
    <tableColumn id="3" xr3:uid="{00000000-0010-0000-0300-000003000000}" name="February" totalsRowFunction="sum" dataDxfId="297" totalsRowDxfId="296"/>
    <tableColumn id="4" xr3:uid="{00000000-0010-0000-0300-000004000000}" name="March" totalsRowFunction="sum" dataDxfId="295" totalsRowDxfId="294"/>
    <tableColumn id="5" xr3:uid="{00000000-0010-0000-0300-000005000000}" name="April" totalsRowFunction="sum" dataDxfId="293" totalsRowDxfId="292"/>
    <tableColumn id="6" xr3:uid="{00000000-0010-0000-0300-000006000000}" name="May" totalsRowFunction="sum" dataDxfId="291" totalsRowDxfId="290"/>
    <tableColumn id="7" xr3:uid="{00000000-0010-0000-0300-000007000000}" name="June" totalsRowFunction="sum" dataDxfId="289" totalsRowDxfId="288"/>
    <tableColumn id="8" xr3:uid="{00000000-0010-0000-0300-000008000000}" name="July" totalsRowFunction="sum" dataDxfId="287" totalsRowDxfId="286"/>
    <tableColumn id="9" xr3:uid="{00000000-0010-0000-0300-000009000000}" name="August" totalsRowFunction="sum" dataDxfId="285" totalsRowDxfId="284"/>
    <tableColumn id="10" xr3:uid="{00000000-0010-0000-0300-00000A000000}" name="September" totalsRowFunction="sum" dataDxfId="283" totalsRowDxfId="282"/>
    <tableColumn id="11" xr3:uid="{00000000-0010-0000-0300-00000B000000}" name="October" totalsRowFunction="sum" dataDxfId="281" totalsRowDxfId="280"/>
    <tableColumn id="12" xr3:uid="{00000000-0010-0000-0300-00000C000000}" name="November" totalsRowFunction="sum" dataDxfId="279" totalsRowDxfId="278"/>
    <tableColumn id="13" xr3:uid="{00000000-0010-0000-0300-00000D000000}" name="December" totalsRowFunction="sum" dataDxfId="277" totalsRowDxfId="276"/>
    <tableColumn id="14" xr3:uid="{00000000-0010-0000-0300-00000E000000}" name="Year" totalsRowFunction="sum" dataDxfId="275" totalsRowDxfId="274">
      <calculatedColumnFormula>SUM(Transportation[[#This Row],[January]:[December]])</calculatedColumnFormula>
    </tableColumn>
    <tableColumn id="15" xr3:uid="{00000000-0010-0000-0300-00000F000000}" name="Sparkline" dataDxfId="273" totalsRowDxfId="27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B38:P43" totalsRowCount="1" headerRowDxfId="271" dataDxfId="270" totalsRowDxfId="269" totalsRowBorderDxfId="268">
  <autoFilter ref="B38:P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dataDxfId="267" totalsRowDxfId="266"/>
    <tableColumn id="2" xr3:uid="{00000000-0010-0000-0400-000002000000}" name="January" totalsRowFunction="sum" dataDxfId="265" totalsRowDxfId="264"/>
    <tableColumn id="3" xr3:uid="{00000000-0010-0000-0400-000003000000}" name="February" totalsRowFunction="sum" dataDxfId="263" totalsRowDxfId="262"/>
    <tableColumn id="4" xr3:uid="{00000000-0010-0000-0400-000004000000}" name="March" totalsRowFunction="sum" dataDxfId="261" totalsRowDxfId="260"/>
    <tableColumn id="5" xr3:uid="{00000000-0010-0000-0400-000005000000}" name="April" totalsRowFunction="sum" dataDxfId="259" totalsRowDxfId="258"/>
    <tableColumn id="6" xr3:uid="{00000000-0010-0000-0400-000006000000}" name="May" totalsRowFunction="sum" dataDxfId="257" totalsRowDxfId="256"/>
    <tableColumn id="7" xr3:uid="{00000000-0010-0000-0400-000007000000}" name="June" totalsRowFunction="sum" dataDxfId="255" totalsRowDxfId="254"/>
    <tableColumn id="8" xr3:uid="{00000000-0010-0000-0400-000008000000}" name="July" totalsRowFunction="sum" dataDxfId="253" totalsRowDxfId="252"/>
    <tableColumn id="9" xr3:uid="{00000000-0010-0000-0400-000009000000}" name="August" totalsRowFunction="sum" dataDxfId="251" totalsRowDxfId="250"/>
    <tableColumn id="10" xr3:uid="{00000000-0010-0000-0400-00000A000000}" name="September" totalsRowFunction="sum" dataDxfId="249" totalsRowDxfId="248"/>
    <tableColumn id="11" xr3:uid="{00000000-0010-0000-0400-00000B000000}" name="October" totalsRowFunction="sum" dataDxfId="247" totalsRowDxfId="246"/>
    <tableColumn id="12" xr3:uid="{00000000-0010-0000-0400-00000C000000}" name="November" totalsRowFunction="sum" dataDxfId="245" totalsRowDxfId="244"/>
    <tableColumn id="13" xr3:uid="{00000000-0010-0000-0400-00000D000000}" name="December" totalsRowFunction="sum" dataDxfId="243" totalsRowDxfId="242"/>
    <tableColumn id="14" xr3:uid="{00000000-0010-0000-0400-00000E000000}" name="Year" totalsRowFunction="sum" dataDxfId="241" totalsRowDxfId="240">
      <calculatedColumnFormula>SUM(Entertainment[[#This Row],[January]:[December]])</calculatedColumnFormula>
    </tableColumn>
    <tableColumn id="15" xr3:uid="{00000000-0010-0000-0400-00000F000000}" name="Sparkline" dataDxfId="239" totalsRowDxfId="23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B45:P53" totalsRowCount="1" headerRowDxfId="237" dataDxfId="236" totalsRowDxfId="235" totalsRowBorderDxfId="234">
  <autoFilter ref="B45:P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dataDxfId="233" totalsRowDxfId="232"/>
    <tableColumn id="2" xr3:uid="{00000000-0010-0000-0500-000002000000}" name="January" totalsRowFunction="sum" dataDxfId="231" totalsRowDxfId="230"/>
    <tableColumn id="3" xr3:uid="{00000000-0010-0000-0500-000003000000}" name="February" totalsRowFunction="sum" dataDxfId="229" totalsRowDxfId="228"/>
    <tableColumn id="4" xr3:uid="{00000000-0010-0000-0500-000004000000}" name="March" totalsRowFunction="sum" dataDxfId="227" totalsRowDxfId="226"/>
    <tableColumn id="5" xr3:uid="{00000000-0010-0000-0500-000005000000}" name="April" totalsRowFunction="sum" dataDxfId="225" totalsRowDxfId="224"/>
    <tableColumn id="6" xr3:uid="{00000000-0010-0000-0500-000006000000}" name="May" totalsRowFunction="sum" dataDxfId="223" totalsRowDxfId="222"/>
    <tableColumn id="7" xr3:uid="{00000000-0010-0000-0500-000007000000}" name="June" totalsRowFunction="sum" dataDxfId="221" totalsRowDxfId="220"/>
    <tableColumn id="8" xr3:uid="{00000000-0010-0000-0500-000008000000}" name="July" totalsRowFunction="sum" dataDxfId="219" totalsRowDxfId="218"/>
    <tableColumn id="9" xr3:uid="{00000000-0010-0000-0500-000009000000}" name="August" totalsRowFunction="sum" dataDxfId="217" totalsRowDxfId="216"/>
    <tableColumn id="10" xr3:uid="{00000000-0010-0000-0500-00000A000000}" name="September" totalsRowFunction="sum" dataDxfId="215" totalsRowDxfId="214"/>
    <tableColumn id="11" xr3:uid="{00000000-0010-0000-0500-00000B000000}" name="October" totalsRowFunction="sum" dataDxfId="213" totalsRowDxfId="212"/>
    <tableColumn id="12" xr3:uid="{00000000-0010-0000-0500-00000C000000}" name="November" totalsRowFunction="sum" dataDxfId="211" totalsRowDxfId="210"/>
    <tableColumn id="13" xr3:uid="{00000000-0010-0000-0500-00000D000000}" name="December" totalsRowFunction="sum" dataDxfId="209" totalsRowDxfId="208"/>
    <tableColumn id="14" xr3:uid="{00000000-0010-0000-0500-00000E000000}" name="Year" totalsRowFunction="sum" dataDxfId="207" totalsRowDxfId="206">
      <calculatedColumnFormula>SUM(Health[[#This Row],[January]:[December]])</calculatedColumnFormula>
    </tableColumn>
    <tableColumn id="15" xr3:uid="{00000000-0010-0000-0500-00000F000000}" name="Sparkline" dataDxfId="205" totalsRowDxfId="20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acations" displayName="Vacations" ref="B55:P62" totalsRowCount="1" headerRowDxfId="203" dataDxfId="202" totalsRowDxfId="201" totalsRowBorderDxfId="200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VACATIONS" totalsRowLabel="Total" dataDxfId="199" totalsRowDxfId="198"/>
    <tableColumn id="2" xr3:uid="{00000000-0010-0000-0600-000002000000}" name="January" totalsRowFunction="sum" dataDxfId="197" totalsRowDxfId="196"/>
    <tableColumn id="3" xr3:uid="{00000000-0010-0000-0600-000003000000}" name="February" totalsRowFunction="sum" dataDxfId="195" totalsRowDxfId="194"/>
    <tableColumn id="4" xr3:uid="{00000000-0010-0000-0600-000004000000}" name="March" totalsRowFunction="sum" dataDxfId="193" totalsRowDxfId="192"/>
    <tableColumn id="5" xr3:uid="{00000000-0010-0000-0600-000005000000}" name="April" totalsRowFunction="sum" dataDxfId="191" totalsRowDxfId="190"/>
    <tableColumn id="6" xr3:uid="{00000000-0010-0000-0600-000006000000}" name="May" totalsRowFunction="sum" dataDxfId="189" totalsRowDxfId="188"/>
    <tableColumn id="7" xr3:uid="{00000000-0010-0000-0600-000007000000}" name="June" totalsRowFunction="sum" dataDxfId="187" totalsRowDxfId="186"/>
    <tableColumn id="8" xr3:uid="{00000000-0010-0000-0600-000008000000}" name="July" totalsRowFunction="sum" dataDxfId="185" totalsRowDxfId="184"/>
    <tableColumn id="9" xr3:uid="{00000000-0010-0000-0600-000009000000}" name="August" totalsRowFunction="sum" dataDxfId="183" totalsRowDxfId="182"/>
    <tableColumn id="10" xr3:uid="{00000000-0010-0000-0600-00000A000000}" name="September" totalsRowFunction="sum" dataDxfId="181" totalsRowDxfId="180"/>
    <tableColumn id="11" xr3:uid="{00000000-0010-0000-0600-00000B000000}" name="October" totalsRowFunction="sum" dataDxfId="179" totalsRowDxfId="178"/>
    <tableColumn id="12" xr3:uid="{00000000-0010-0000-0600-00000C000000}" name="November" totalsRowFunction="sum" dataDxfId="177" totalsRowDxfId="176"/>
    <tableColumn id="13" xr3:uid="{00000000-0010-0000-0600-00000D000000}" name="December" totalsRowFunction="sum" dataDxfId="175" totalsRowDxfId="174"/>
    <tableColumn id="14" xr3:uid="{00000000-0010-0000-0600-00000E000000}" name="Year" totalsRowFunction="sum" dataDxfId="173" totalsRowDxfId="172">
      <calculatedColumnFormula>SUM(Vacations[[#This Row],[January]:[December]])</calculatedColumnFormula>
    </tableColumn>
    <tableColumn id="15" xr3:uid="{00000000-0010-0000-0600-00000F000000}" name="Sparkline" dataDxfId="171" totalsRowDxfId="17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B64:P69" totalsRowCount="1" headerRowDxfId="169" dataDxfId="168" totalsRowDxfId="167" totalsRowBorderDxfId="166">
  <autoFilter ref="B64:P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165" totalsRowDxfId="164"/>
    <tableColumn id="2" xr3:uid="{00000000-0010-0000-0700-000002000000}" name="January" totalsRowFunction="sum" dataDxfId="163" totalsRowDxfId="162"/>
    <tableColumn id="3" xr3:uid="{00000000-0010-0000-0700-000003000000}" name="February" totalsRowFunction="sum" dataDxfId="161" totalsRowDxfId="160"/>
    <tableColumn id="4" xr3:uid="{00000000-0010-0000-0700-000004000000}" name="March" totalsRowFunction="sum" dataDxfId="159" totalsRowDxfId="158"/>
    <tableColumn id="5" xr3:uid="{00000000-0010-0000-0700-000005000000}" name="April" totalsRowFunction="sum" dataDxfId="157" totalsRowDxfId="156"/>
    <tableColumn id="6" xr3:uid="{00000000-0010-0000-0700-000006000000}" name="May" totalsRowFunction="sum" dataDxfId="155" totalsRowDxfId="154"/>
    <tableColumn id="7" xr3:uid="{00000000-0010-0000-0700-000007000000}" name="June" totalsRowFunction="sum" dataDxfId="153" totalsRowDxfId="152"/>
    <tableColumn id="8" xr3:uid="{00000000-0010-0000-0700-000008000000}" name="July" totalsRowFunction="sum" dataDxfId="151" totalsRowDxfId="150"/>
    <tableColumn id="9" xr3:uid="{00000000-0010-0000-0700-000009000000}" name="August" totalsRowFunction="sum" dataDxfId="149" totalsRowDxfId="148"/>
    <tableColumn id="10" xr3:uid="{00000000-0010-0000-0700-00000A000000}" name="September" totalsRowFunction="sum" dataDxfId="147" totalsRowDxfId="146"/>
    <tableColumn id="11" xr3:uid="{00000000-0010-0000-0700-00000B000000}" name="October" totalsRowFunction="sum" dataDxfId="145" totalsRowDxfId="144"/>
    <tableColumn id="12" xr3:uid="{00000000-0010-0000-0700-00000C000000}" name="November" totalsRowFunction="sum" dataDxfId="143" totalsRowDxfId="142"/>
    <tableColumn id="13" xr3:uid="{00000000-0010-0000-0700-00000D000000}" name="December" totalsRowFunction="sum" dataDxfId="141" totalsRowDxfId="140"/>
    <tableColumn id="14" xr3:uid="{00000000-0010-0000-0700-00000E000000}" name="Year" totalsRowFunction="sum" dataDxfId="139" totalsRowDxfId="138">
      <calculatedColumnFormula>SUM(Recreation[[#This Row],[January]:[December]])</calculatedColumnFormula>
    </tableColumn>
    <tableColumn id="15" xr3:uid="{00000000-0010-0000-0700-00000F000000}" name="Sparkline" dataDxfId="137" totalsRowDxfId="13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B71:P79" totalsRowCount="1" headerRowDxfId="135" dataDxfId="134" totalsRowDxfId="133" totalsRowBorderDxfId="132">
  <autoFilter ref="B71:P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" totalsRowLabel="Total" dataDxfId="131" totalsRowDxfId="130"/>
    <tableColumn id="2" xr3:uid="{00000000-0010-0000-0800-000002000000}" name="January" totalsRowFunction="sum" dataDxfId="129" totalsRowDxfId="128"/>
    <tableColumn id="3" xr3:uid="{00000000-0010-0000-0800-000003000000}" name="February" totalsRowFunction="sum" dataDxfId="127" totalsRowDxfId="126"/>
    <tableColumn id="4" xr3:uid="{00000000-0010-0000-0800-000004000000}" name="March" totalsRowFunction="sum" dataDxfId="125" totalsRowDxfId="124"/>
    <tableColumn id="5" xr3:uid="{00000000-0010-0000-0800-000005000000}" name="April" totalsRowFunction="sum" dataDxfId="123" totalsRowDxfId="122"/>
    <tableColumn id="6" xr3:uid="{00000000-0010-0000-0800-000006000000}" name="May" totalsRowFunction="sum" dataDxfId="121" totalsRowDxfId="120"/>
    <tableColumn id="7" xr3:uid="{00000000-0010-0000-0800-000007000000}" name="June" totalsRowFunction="sum" dataDxfId="119" totalsRowDxfId="118"/>
    <tableColumn id="8" xr3:uid="{00000000-0010-0000-0800-000008000000}" name="July" totalsRowFunction="sum" dataDxfId="117" totalsRowDxfId="116"/>
    <tableColumn id="9" xr3:uid="{00000000-0010-0000-0800-000009000000}" name="August" totalsRowFunction="sum" dataDxfId="115" totalsRowDxfId="114"/>
    <tableColumn id="10" xr3:uid="{00000000-0010-0000-0800-00000A000000}" name="September" totalsRowFunction="sum" dataDxfId="113" totalsRowDxfId="112"/>
    <tableColumn id="11" xr3:uid="{00000000-0010-0000-0800-00000B000000}" name="October" totalsRowFunction="sum" dataDxfId="111" totalsRowDxfId="110"/>
    <tableColumn id="12" xr3:uid="{00000000-0010-0000-0800-00000C000000}" name="November" totalsRowFunction="sum" dataDxfId="109" totalsRowDxfId="108"/>
    <tableColumn id="13" xr3:uid="{00000000-0010-0000-0800-00000D000000}" name="December" totalsRowFunction="sum" dataDxfId="107" totalsRowDxfId="106"/>
    <tableColumn id="14" xr3:uid="{00000000-0010-0000-0800-00000E000000}" name="Year" totalsRowFunction="sum" dataDxfId="105" totalsRowDxfId="104">
      <calculatedColumnFormula>SUM(DuesAndSubscription[[#This Row],[January]:[December]])</calculatedColumnFormula>
    </tableColumn>
    <tableColumn id="15" xr3:uid="{00000000-0010-0000-0800-00000F000000}" name="Sparkline" dataDxfId="103" totalsRowDxfId="10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103"/>
  <sheetViews>
    <sheetView showGridLines="0" tabSelected="1" view="pageBreakPreview" zoomScale="77" zoomScaleNormal="96" zoomScaleSheetLayoutView="77" workbookViewId="0">
      <selection activeCell="K1" sqref="K1"/>
    </sheetView>
  </sheetViews>
  <sheetFormatPr defaultRowHeight="30" customHeight="1" x14ac:dyDescent="0.2"/>
  <cols>
    <col min="1" max="1" width="1.875" style="14" customWidth="1"/>
    <col min="2" max="2" width="30.625" style="14" hidden="1" customWidth="1"/>
    <col min="3" max="15" width="12.375" style="1" customWidth="1"/>
    <col min="16" max="16" width="12.375" style="14" customWidth="1"/>
    <col min="17" max="17" width="2.625" style="14" customWidth="1"/>
    <col min="18" max="16384" width="9" style="14"/>
  </cols>
  <sheetData>
    <row r="1" spans="1:16" s="17" customFormat="1" ht="30" customHeight="1" x14ac:dyDescent="0.2">
      <c r="C1" s="1"/>
      <c r="D1" s="1"/>
      <c r="E1" s="1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75.75" customHeight="1" x14ac:dyDescent="0.2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3.75" customHeight="1" x14ac:dyDescent="0.2"/>
    <row r="4" spans="1:16" ht="21" customHeight="1" x14ac:dyDescent="0.2">
      <c r="B4" s="15" t="s">
        <v>80</v>
      </c>
      <c r="C4" s="6" t="s">
        <v>67</v>
      </c>
      <c r="D4" s="6" t="s">
        <v>68</v>
      </c>
      <c r="E4" s="6" t="s">
        <v>70</v>
      </c>
      <c r="F4" s="6" t="s">
        <v>71</v>
      </c>
      <c r="G4" s="6" t="s">
        <v>69</v>
      </c>
      <c r="H4" s="6" t="s">
        <v>72</v>
      </c>
      <c r="I4" s="6" t="s">
        <v>73</v>
      </c>
      <c r="J4" s="6" t="s">
        <v>74</v>
      </c>
      <c r="K4" s="6" t="s">
        <v>75</v>
      </c>
      <c r="L4" s="6" t="s">
        <v>76</v>
      </c>
      <c r="M4" s="6" t="s">
        <v>77</v>
      </c>
      <c r="N4" s="6" t="s">
        <v>78</v>
      </c>
      <c r="O4" s="6" t="s">
        <v>79</v>
      </c>
      <c r="P4" s="7"/>
    </row>
    <row r="5" spans="1:16" ht="15.95" customHeight="1" x14ac:dyDescent="0.2">
      <c r="B5" s="12" t="s">
        <v>54</v>
      </c>
      <c r="C5" s="13" t="s">
        <v>91</v>
      </c>
      <c r="D5" s="13" t="s">
        <v>92</v>
      </c>
      <c r="E5" s="13" t="s">
        <v>84</v>
      </c>
      <c r="F5" s="13" t="s">
        <v>85</v>
      </c>
      <c r="G5" s="13" t="s">
        <v>86</v>
      </c>
      <c r="H5" s="13" t="s">
        <v>87</v>
      </c>
      <c r="I5" s="13" t="s">
        <v>88</v>
      </c>
      <c r="J5" s="13" t="s">
        <v>93</v>
      </c>
      <c r="K5" s="13" t="s">
        <v>94</v>
      </c>
      <c r="L5" s="13" t="s">
        <v>95</v>
      </c>
      <c r="M5" s="13" t="s">
        <v>96</v>
      </c>
      <c r="N5" s="13" t="s">
        <v>97</v>
      </c>
      <c r="O5" s="13" t="s">
        <v>89</v>
      </c>
      <c r="P5" s="13" t="s">
        <v>98</v>
      </c>
    </row>
    <row r="6" spans="1:16" ht="15.95" customHeight="1" x14ac:dyDescent="0.2">
      <c r="B6" s="4" t="s">
        <v>0</v>
      </c>
      <c r="C6" s="2">
        <v>2600</v>
      </c>
      <c r="D6" s="2">
        <v>2600</v>
      </c>
      <c r="E6" s="2">
        <v>2600</v>
      </c>
      <c r="F6" s="2"/>
      <c r="G6" s="2"/>
      <c r="H6" s="2"/>
      <c r="I6" s="2"/>
      <c r="J6" s="2"/>
      <c r="K6" s="2"/>
      <c r="L6" s="2"/>
      <c r="M6" s="2"/>
      <c r="N6" s="2"/>
      <c r="O6" s="2">
        <f>SUM(Income[[#This Row],[January]:[December]])</f>
        <v>7800</v>
      </c>
      <c r="P6" s="2"/>
    </row>
    <row r="7" spans="1:16" ht="15.95" customHeight="1" x14ac:dyDescent="0.2">
      <c r="B7" s="5" t="s">
        <v>83</v>
      </c>
      <c r="C7" s="3">
        <v>649</v>
      </c>
      <c r="D7" s="3">
        <v>313</v>
      </c>
      <c r="E7" s="3">
        <v>664</v>
      </c>
      <c r="F7" s="3"/>
      <c r="G7" s="3"/>
      <c r="H7" s="3"/>
      <c r="I7" s="3"/>
      <c r="J7" s="3"/>
      <c r="K7" s="3"/>
      <c r="L7" s="3"/>
      <c r="M7" s="3"/>
      <c r="N7" s="3"/>
      <c r="O7" s="3">
        <f>SUM(Income[[#This Row],[January]:[December]])</f>
        <v>1626</v>
      </c>
      <c r="P7" s="3"/>
    </row>
    <row r="8" spans="1:16" ht="15.95" customHeight="1" thickBot="1" x14ac:dyDescent="0.25">
      <c r="B8" s="11" t="s">
        <v>1</v>
      </c>
      <c r="C8" s="10">
        <v>474</v>
      </c>
      <c r="D8" s="10">
        <v>643</v>
      </c>
      <c r="E8" s="10">
        <v>380</v>
      </c>
      <c r="F8" s="10"/>
      <c r="G8" s="10"/>
      <c r="H8" s="10"/>
      <c r="I8" s="10"/>
      <c r="J8" s="10"/>
      <c r="K8" s="10"/>
      <c r="L8" s="10"/>
      <c r="M8" s="10"/>
      <c r="N8" s="10"/>
      <c r="O8" s="10">
        <f>SUM(Income[[#This Row],[January]:[December]])</f>
        <v>1497</v>
      </c>
      <c r="P8" s="10"/>
    </row>
    <row r="9" spans="1:16" ht="21" customHeight="1" thickTop="1" x14ac:dyDescent="0.2">
      <c r="B9" s="16" t="s">
        <v>53</v>
      </c>
      <c r="C9" s="8">
        <f>SUBTOTAL(109,Income[January])</f>
        <v>3723</v>
      </c>
      <c r="D9" s="8">
        <f>SUBTOTAL(109,Income[February])</f>
        <v>3556</v>
      </c>
      <c r="E9" s="8">
        <f>SUBTOTAL(109,Income[March])</f>
        <v>3644</v>
      </c>
      <c r="F9" s="8">
        <f>SUBTOTAL(109,Income[April])</f>
        <v>0</v>
      </c>
      <c r="G9" s="8">
        <f>SUBTOTAL(109,Income[May])</f>
        <v>0</v>
      </c>
      <c r="H9" s="8">
        <f>SUBTOTAL(109,Income[June])</f>
        <v>0</v>
      </c>
      <c r="I9" s="8">
        <f>SUBTOTAL(109,Income[July])</f>
        <v>0</v>
      </c>
      <c r="J9" s="8">
        <f>SUBTOTAL(109,Income[August])</f>
        <v>0</v>
      </c>
      <c r="K9" s="8">
        <f>SUBTOTAL(109,Income[September])</f>
        <v>0</v>
      </c>
      <c r="L9" s="8">
        <f>SUBTOTAL(109,Income[October])</f>
        <v>0</v>
      </c>
      <c r="M9" s="8">
        <f>SUBTOTAL(109,Income[November])</f>
        <v>0</v>
      </c>
      <c r="N9" s="8">
        <f>SUBTOTAL(109,Income[December])</f>
        <v>0</v>
      </c>
      <c r="O9" s="8">
        <f>SUBTOTAL(109,Income[Year])</f>
        <v>10923</v>
      </c>
      <c r="P9" s="9"/>
    </row>
    <row r="10" spans="1:16" ht="24" customHeight="1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21" customHeight="1" x14ac:dyDescent="0.2">
      <c r="B11" s="15" t="s">
        <v>55</v>
      </c>
      <c r="C11" s="6" t="s">
        <v>67</v>
      </c>
      <c r="D11" s="6" t="s">
        <v>68</v>
      </c>
      <c r="E11" s="6" t="s">
        <v>70</v>
      </c>
      <c r="F11" s="6" t="s">
        <v>71</v>
      </c>
      <c r="G11" s="6" t="s">
        <v>69</v>
      </c>
      <c r="H11" s="6" t="s">
        <v>72</v>
      </c>
      <c r="I11" s="6" t="s">
        <v>73</v>
      </c>
      <c r="J11" s="6" t="s">
        <v>74</v>
      </c>
      <c r="K11" s="6" t="s">
        <v>75</v>
      </c>
      <c r="L11" s="6" t="s">
        <v>76</v>
      </c>
      <c r="M11" s="6" t="s">
        <v>77</v>
      </c>
      <c r="N11" s="6" t="s">
        <v>78</v>
      </c>
      <c r="O11" s="6" t="s">
        <v>79</v>
      </c>
      <c r="P11" s="7"/>
    </row>
    <row r="12" spans="1:16" ht="15.95" customHeight="1" x14ac:dyDescent="0.2">
      <c r="B12" s="12" t="s">
        <v>56</v>
      </c>
      <c r="C12" s="13" t="s">
        <v>91</v>
      </c>
      <c r="D12" s="13" t="s">
        <v>92</v>
      </c>
      <c r="E12" s="13" t="s">
        <v>84</v>
      </c>
      <c r="F12" s="13" t="s">
        <v>85</v>
      </c>
      <c r="G12" s="13" t="s">
        <v>86</v>
      </c>
      <c r="H12" s="13" t="s">
        <v>87</v>
      </c>
      <c r="I12" s="13" t="s">
        <v>88</v>
      </c>
      <c r="J12" s="13" t="s">
        <v>93</v>
      </c>
      <c r="K12" s="13" t="s">
        <v>94</v>
      </c>
      <c r="L12" s="13" t="s">
        <v>95</v>
      </c>
      <c r="M12" s="13" t="s">
        <v>96</v>
      </c>
      <c r="N12" s="13" t="s">
        <v>97</v>
      </c>
      <c r="O12" s="13" t="s">
        <v>89</v>
      </c>
      <c r="P12" s="13" t="s">
        <v>98</v>
      </c>
    </row>
    <row r="13" spans="1:16" ht="15.95" customHeight="1" x14ac:dyDescent="0.2">
      <c r="B13" s="4" t="s">
        <v>81</v>
      </c>
      <c r="C13" s="2">
        <v>750</v>
      </c>
      <c r="D13" s="2">
        <v>750</v>
      </c>
      <c r="E13" s="2">
        <v>750</v>
      </c>
      <c r="F13" s="2"/>
      <c r="G13" s="2"/>
      <c r="H13" s="2"/>
      <c r="I13" s="2"/>
      <c r="J13" s="2"/>
      <c r="K13" s="2"/>
      <c r="L13" s="2"/>
      <c r="M13" s="2"/>
      <c r="N13" s="2"/>
      <c r="O13" s="2">
        <f>SUM(Home[[#This Row],[January]:[December]])</f>
        <v>2250</v>
      </c>
      <c r="P13" s="2"/>
    </row>
    <row r="14" spans="1:16" ht="15.95" customHeight="1" x14ac:dyDescent="0.2">
      <c r="B14" s="5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>SUM(Home[[#This Row],[January]:[December]])</f>
        <v>0</v>
      </c>
      <c r="P14" s="3"/>
    </row>
    <row r="15" spans="1:16" ht="15.95" customHeight="1" x14ac:dyDescent="0.2">
      <c r="B15" s="5" t="s">
        <v>11</v>
      </c>
      <c r="C15" s="3"/>
      <c r="D15" s="3"/>
      <c r="E15" s="3">
        <v>75</v>
      </c>
      <c r="F15" s="3"/>
      <c r="G15" s="3"/>
      <c r="H15" s="3"/>
      <c r="I15" s="3"/>
      <c r="J15" s="3"/>
      <c r="K15" s="3"/>
      <c r="L15" s="3"/>
      <c r="M15" s="3"/>
      <c r="N15" s="3"/>
      <c r="O15" s="3">
        <f>SUM(Home[[#This Row],[January]:[December]])</f>
        <v>75</v>
      </c>
      <c r="P15" s="3"/>
    </row>
    <row r="16" spans="1:16" ht="15.95" customHeight="1" x14ac:dyDescent="0.2">
      <c r="B16" s="5" t="s">
        <v>82</v>
      </c>
      <c r="C16" s="3">
        <v>35</v>
      </c>
      <c r="D16" s="3">
        <v>35</v>
      </c>
      <c r="E16" s="3">
        <v>35</v>
      </c>
      <c r="F16" s="3"/>
      <c r="G16" s="3"/>
      <c r="H16" s="3"/>
      <c r="I16" s="3"/>
      <c r="J16" s="3"/>
      <c r="K16" s="3"/>
      <c r="L16" s="3"/>
      <c r="M16" s="3"/>
      <c r="N16" s="3"/>
      <c r="O16" s="3">
        <f>SUM(Home[[#This Row],[January]:[December]])</f>
        <v>105</v>
      </c>
      <c r="P16" s="3"/>
    </row>
    <row r="17" spans="2:16" ht="15.95" customHeight="1" thickBot="1" x14ac:dyDescent="0.25">
      <c r="B17" s="11" t="s">
        <v>2</v>
      </c>
      <c r="C17" s="10">
        <v>165</v>
      </c>
      <c r="D17" s="10">
        <v>165</v>
      </c>
      <c r="E17" s="10">
        <v>165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>SUM(Home[[#This Row],[January]:[December]])</f>
        <v>495</v>
      </c>
      <c r="P17" s="10"/>
    </row>
    <row r="18" spans="2:16" ht="21" customHeight="1" thickTop="1" x14ac:dyDescent="0.2">
      <c r="B18" s="16" t="s">
        <v>53</v>
      </c>
      <c r="C18" s="8">
        <f>SUBTOTAL(109,Home[January])</f>
        <v>950</v>
      </c>
      <c r="D18" s="8">
        <f>SUBTOTAL(109,Home[February])</f>
        <v>950</v>
      </c>
      <c r="E18" s="8">
        <f>SUBTOTAL(109,Home[March])</f>
        <v>1025</v>
      </c>
      <c r="F18" s="8">
        <f>SUBTOTAL(109,Home[April])</f>
        <v>0</v>
      </c>
      <c r="G18" s="8">
        <f>SUBTOTAL(109,Home[May])</f>
        <v>0</v>
      </c>
      <c r="H18" s="8">
        <f>SUBTOTAL(109,Home[June])</f>
        <v>0</v>
      </c>
      <c r="I18" s="8">
        <f>SUBTOTAL(109,Home[July])</f>
        <v>0</v>
      </c>
      <c r="J18" s="8">
        <f>SUBTOTAL(109,Home[August])</f>
        <v>0</v>
      </c>
      <c r="K18" s="8">
        <f>SUBTOTAL(109,Home[September])</f>
        <v>0</v>
      </c>
      <c r="L18" s="8">
        <f>SUBTOTAL(109,Home[October])</f>
        <v>0</v>
      </c>
      <c r="M18" s="8">
        <f>SUBTOTAL(109,Home[November])</f>
        <v>0</v>
      </c>
      <c r="N18" s="8">
        <f>SUBTOTAL(109,Home[December])</f>
        <v>0</v>
      </c>
      <c r="O18" s="8">
        <f>SUBTOTAL(109,Home[Year])</f>
        <v>2925</v>
      </c>
      <c r="P18" s="9"/>
    </row>
    <row r="19" spans="2:16" ht="24" customHeigh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6" ht="15.95" customHeight="1" x14ac:dyDescent="0.2">
      <c r="B20" s="13" t="s">
        <v>58</v>
      </c>
      <c r="C20" s="13" t="s">
        <v>91</v>
      </c>
      <c r="D20" s="13" t="s">
        <v>92</v>
      </c>
      <c r="E20" s="13" t="s">
        <v>84</v>
      </c>
      <c r="F20" s="13" t="s">
        <v>85</v>
      </c>
      <c r="G20" s="13" t="s">
        <v>86</v>
      </c>
      <c r="H20" s="13" t="s">
        <v>87</v>
      </c>
      <c r="I20" s="13" t="s">
        <v>88</v>
      </c>
      <c r="J20" s="13" t="s">
        <v>93</v>
      </c>
      <c r="K20" s="13" t="s">
        <v>94</v>
      </c>
      <c r="L20" s="13" t="s">
        <v>95</v>
      </c>
      <c r="M20" s="13" t="s">
        <v>96</v>
      </c>
      <c r="N20" s="13" t="s">
        <v>97</v>
      </c>
      <c r="O20" s="13" t="s">
        <v>89</v>
      </c>
      <c r="P20" s="13" t="s">
        <v>98</v>
      </c>
    </row>
    <row r="21" spans="2:16" ht="15.95" customHeight="1" x14ac:dyDescent="0.2">
      <c r="B21" s="4" t="s">
        <v>3</v>
      </c>
      <c r="C21" s="2">
        <v>191</v>
      </c>
      <c r="D21" s="2">
        <v>152</v>
      </c>
      <c r="E21" s="2">
        <v>145</v>
      </c>
      <c r="F21" s="2"/>
      <c r="G21" s="2"/>
      <c r="H21" s="2"/>
      <c r="I21" s="2"/>
      <c r="J21" s="2"/>
      <c r="K21" s="2"/>
      <c r="L21" s="2"/>
      <c r="M21" s="2"/>
      <c r="N21" s="2"/>
      <c r="O21" s="2">
        <f>SUM(Daily[[#This Row],[January]:[December]])</f>
        <v>488</v>
      </c>
      <c r="P21" s="2"/>
    </row>
    <row r="22" spans="2:16" ht="15.95" customHeight="1" x14ac:dyDescent="0.2">
      <c r="B22" s="5" t="s">
        <v>4</v>
      </c>
      <c r="C22" s="3">
        <v>200</v>
      </c>
      <c r="D22" s="3">
        <v>200</v>
      </c>
      <c r="E22" s="3">
        <v>200</v>
      </c>
      <c r="F22" s="3"/>
      <c r="G22" s="3"/>
      <c r="H22" s="3"/>
      <c r="I22" s="3"/>
      <c r="J22" s="3"/>
      <c r="K22" s="3"/>
      <c r="L22" s="3"/>
      <c r="M22" s="3"/>
      <c r="N22" s="3"/>
      <c r="O22" s="3">
        <f>SUM(Daily[[#This Row],[January]:[December]])</f>
        <v>600</v>
      </c>
      <c r="P22" s="3"/>
    </row>
    <row r="23" spans="2:16" ht="15.95" customHeight="1" x14ac:dyDescent="0.2">
      <c r="B23" s="5" t="s">
        <v>5</v>
      </c>
      <c r="C23" s="3">
        <v>20</v>
      </c>
      <c r="D23" s="3"/>
      <c r="E23" s="3">
        <v>20</v>
      </c>
      <c r="F23" s="3"/>
      <c r="G23" s="3"/>
      <c r="H23" s="3"/>
      <c r="I23" s="3"/>
      <c r="J23" s="3"/>
      <c r="K23" s="3"/>
      <c r="L23" s="3"/>
      <c r="M23" s="3"/>
      <c r="N23" s="3"/>
      <c r="O23" s="3">
        <f>SUM(Daily[[#This Row],[January]:[December]])</f>
        <v>40</v>
      </c>
      <c r="P23" s="3"/>
    </row>
    <row r="24" spans="2:16" ht="15.95" customHeight="1" x14ac:dyDescent="0.2">
      <c r="B24" s="5" t="s">
        <v>6</v>
      </c>
      <c r="C24" s="3">
        <v>55</v>
      </c>
      <c r="D24" s="3"/>
      <c r="E24" s="3">
        <v>56</v>
      </c>
      <c r="F24" s="3"/>
      <c r="G24" s="3"/>
      <c r="H24" s="3"/>
      <c r="I24" s="3"/>
      <c r="J24" s="3"/>
      <c r="K24" s="3"/>
      <c r="L24" s="3"/>
      <c r="M24" s="3"/>
      <c r="N24" s="3"/>
      <c r="O24" s="3">
        <f>SUM(Daily[[#This Row],[January]:[December]])</f>
        <v>111</v>
      </c>
      <c r="P24" s="3"/>
    </row>
    <row r="25" spans="2:16" ht="15.95" customHeight="1" x14ac:dyDescent="0.2">
      <c r="B25" s="5" t="s">
        <v>7</v>
      </c>
      <c r="C25" s="3">
        <v>25</v>
      </c>
      <c r="D25" s="3">
        <v>17</v>
      </c>
      <c r="E25" s="3">
        <v>7</v>
      </c>
      <c r="F25" s="3"/>
      <c r="G25" s="3"/>
      <c r="H25" s="3"/>
      <c r="I25" s="3"/>
      <c r="J25" s="3"/>
      <c r="K25" s="3"/>
      <c r="L25" s="3"/>
      <c r="M25" s="3"/>
      <c r="N25" s="3"/>
      <c r="O25" s="3">
        <f>SUM(Daily[[#This Row],[January]:[December]])</f>
        <v>49</v>
      </c>
      <c r="P25" s="3"/>
    </row>
    <row r="26" spans="2:16" ht="19.5" customHeight="1" thickBot="1" x14ac:dyDescent="0.25">
      <c r="B26" s="11" t="s">
        <v>8</v>
      </c>
      <c r="C26" s="10">
        <v>10</v>
      </c>
      <c r="D26" s="10">
        <v>5</v>
      </c>
      <c r="E26" s="10">
        <v>7</v>
      </c>
      <c r="F26" s="10"/>
      <c r="G26" s="10"/>
      <c r="H26" s="10"/>
      <c r="I26" s="10"/>
      <c r="J26" s="10"/>
      <c r="K26" s="10"/>
      <c r="L26" s="10"/>
      <c r="M26" s="10"/>
      <c r="N26" s="10"/>
      <c r="O26" s="10">
        <f>SUM(Daily[[#This Row],[January]:[December]])</f>
        <v>22</v>
      </c>
      <c r="P26" s="10"/>
    </row>
    <row r="27" spans="2:16" ht="21" customHeight="1" thickTop="1" x14ac:dyDescent="0.2">
      <c r="B27" s="16" t="s">
        <v>53</v>
      </c>
      <c r="C27" s="8">
        <f>SUBTOTAL(109,Daily[January])</f>
        <v>501</v>
      </c>
      <c r="D27" s="8">
        <f>SUBTOTAL(109,Daily[February])</f>
        <v>374</v>
      </c>
      <c r="E27" s="8">
        <f>SUBTOTAL(109,Daily[March])</f>
        <v>435</v>
      </c>
      <c r="F27" s="8">
        <f>SUBTOTAL(109,Daily[April])</f>
        <v>0</v>
      </c>
      <c r="G27" s="8">
        <f>SUBTOTAL(109,Daily[May])</f>
        <v>0</v>
      </c>
      <c r="H27" s="8">
        <f>SUBTOTAL(109,Daily[June])</f>
        <v>0</v>
      </c>
      <c r="I27" s="8">
        <f>SUBTOTAL(109,Daily[July])</f>
        <v>0</v>
      </c>
      <c r="J27" s="8">
        <f>SUBTOTAL(109,Daily[August])</f>
        <v>0</v>
      </c>
      <c r="K27" s="8">
        <f>SUBTOTAL(109,Daily[September])</f>
        <v>0</v>
      </c>
      <c r="L27" s="8">
        <f>SUBTOTAL(109,Daily[October])</f>
        <v>0</v>
      </c>
      <c r="M27" s="8">
        <f>SUBTOTAL(109,Daily[November])</f>
        <v>0</v>
      </c>
      <c r="N27" s="8">
        <f>SUBTOTAL(109,Daily[December])</f>
        <v>0</v>
      </c>
      <c r="O27" s="8">
        <f>SUBTOTAL(109,Daily[Year])</f>
        <v>1310</v>
      </c>
      <c r="P27" s="9"/>
    </row>
    <row r="28" spans="2:16" ht="20.100000000000001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6" ht="15.95" customHeight="1" x14ac:dyDescent="0.2">
      <c r="B29" s="13" t="s">
        <v>57</v>
      </c>
      <c r="C29" s="13" t="s">
        <v>91</v>
      </c>
      <c r="D29" s="13" t="s">
        <v>92</v>
      </c>
      <c r="E29" s="13" t="s">
        <v>84</v>
      </c>
      <c r="F29" s="13" t="s">
        <v>85</v>
      </c>
      <c r="G29" s="13" t="s">
        <v>86</v>
      </c>
      <c r="H29" s="13" t="s">
        <v>87</v>
      </c>
      <c r="I29" s="13" t="s">
        <v>88</v>
      </c>
      <c r="J29" s="13" t="s">
        <v>93</v>
      </c>
      <c r="K29" s="13" t="s">
        <v>94</v>
      </c>
      <c r="L29" s="13" t="s">
        <v>95</v>
      </c>
      <c r="M29" s="13" t="s">
        <v>96</v>
      </c>
      <c r="N29" s="13" t="s">
        <v>97</v>
      </c>
      <c r="O29" s="13" t="s">
        <v>89</v>
      </c>
      <c r="P29" s="13" t="s">
        <v>98</v>
      </c>
    </row>
    <row r="30" spans="2:16" ht="15.95" customHeight="1" x14ac:dyDescent="0.2">
      <c r="B30" s="4" t="s">
        <v>9</v>
      </c>
      <c r="C30" s="2">
        <v>195</v>
      </c>
      <c r="D30" s="2">
        <v>125</v>
      </c>
      <c r="E30" s="2">
        <v>171</v>
      </c>
      <c r="F30" s="2"/>
      <c r="G30" s="2"/>
      <c r="H30" s="2"/>
      <c r="I30" s="2"/>
      <c r="J30" s="2"/>
      <c r="K30" s="2"/>
      <c r="L30" s="2"/>
      <c r="M30" s="2"/>
      <c r="N30" s="2"/>
      <c r="O30" s="2">
        <f>SUM(Transportation[[#This Row],[January]:[December]])</f>
        <v>491</v>
      </c>
      <c r="P30" s="2"/>
    </row>
    <row r="31" spans="2:16" ht="15.95" customHeight="1" x14ac:dyDescent="0.2">
      <c r="B31" s="5" t="s">
        <v>10</v>
      </c>
      <c r="C31" s="3">
        <v>165</v>
      </c>
      <c r="D31" s="3">
        <v>165</v>
      </c>
      <c r="E31" s="3">
        <v>165</v>
      </c>
      <c r="F31" s="3"/>
      <c r="G31" s="3"/>
      <c r="H31" s="3"/>
      <c r="I31" s="3"/>
      <c r="J31" s="3"/>
      <c r="K31" s="3"/>
      <c r="L31" s="3"/>
      <c r="M31" s="3"/>
      <c r="N31" s="3"/>
      <c r="O31" s="3">
        <f>SUM(Transportation[[#This Row],[January]:[December]])</f>
        <v>495</v>
      </c>
      <c r="P31" s="3"/>
    </row>
    <row r="32" spans="2:16" ht="15.95" customHeight="1" x14ac:dyDescent="0.2">
      <c r="B32" s="5" t="s">
        <v>11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>SUM(Transportation[[#This Row],[January]:[December]])</f>
        <v>0</v>
      </c>
      <c r="P32" s="3"/>
    </row>
    <row r="33" spans="2:16" ht="15.95" customHeight="1" x14ac:dyDescent="0.2">
      <c r="B33" s="5" t="s">
        <v>12</v>
      </c>
      <c r="C33" s="3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>SUM(Transportation[[#This Row],[January]:[December]])</f>
        <v>10</v>
      </c>
      <c r="P33" s="3"/>
    </row>
    <row r="34" spans="2:16" ht="15.95" customHeight="1" x14ac:dyDescent="0.2">
      <c r="B34" s="5" t="s">
        <v>13</v>
      </c>
      <c r="C34" s="3">
        <v>10</v>
      </c>
      <c r="D34" s="3">
        <v>40</v>
      </c>
      <c r="E34" s="3">
        <v>20</v>
      </c>
      <c r="F34" s="3"/>
      <c r="G34" s="3"/>
      <c r="H34" s="3"/>
      <c r="I34" s="3"/>
      <c r="J34" s="3"/>
      <c r="K34" s="3"/>
      <c r="L34" s="3"/>
      <c r="M34" s="3"/>
      <c r="N34" s="3"/>
      <c r="O34" s="3">
        <f>SUM(Transportation[[#This Row],[January]:[December]])</f>
        <v>70</v>
      </c>
      <c r="P34" s="3"/>
    </row>
    <row r="35" spans="2:16" ht="15.95" customHeight="1" thickBot="1" x14ac:dyDescent="0.25">
      <c r="B35" s="11" t="s">
        <v>14</v>
      </c>
      <c r="C35" s="10">
        <v>20</v>
      </c>
      <c r="D35" s="10">
        <v>40</v>
      </c>
      <c r="E35" s="10">
        <v>30</v>
      </c>
      <c r="F35" s="10"/>
      <c r="G35" s="10"/>
      <c r="H35" s="10"/>
      <c r="I35" s="10"/>
      <c r="J35" s="10"/>
      <c r="K35" s="10"/>
      <c r="L35" s="10"/>
      <c r="M35" s="10"/>
      <c r="N35" s="10"/>
      <c r="O35" s="10">
        <f>SUM(Transportation[[#This Row],[January]:[December]])</f>
        <v>90</v>
      </c>
      <c r="P35" s="10"/>
    </row>
    <row r="36" spans="2:16" ht="21" customHeight="1" thickTop="1" x14ac:dyDescent="0.2">
      <c r="B36" s="16" t="s">
        <v>53</v>
      </c>
      <c r="C36" s="8">
        <f>SUBTOTAL(109,Transportation[January])</f>
        <v>400</v>
      </c>
      <c r="D36" s="8">
        <f>SUBTOTAL(109,Transportation[February])</f>
        <v>370</v>
      </c>
      <c r="E36" s="8">
        <f>SUBTOTAL(109,Transportation[March])</f>
        <v>386</v>
      </c>
      <c r="F36" s="8">
        <f>SUBTOTAL(109,Transportation[April])</f>
        <v>0</v>
      </c>
      <c r="G36" s="8">
        <f>SUBTOTAL(109,Transportation[May])</f>
        <v>0</v>
      </c>
      <c r="H36" s="8">
        <f>SUBTOTAL(109,Transportation[June])</f>
        <v>0</v>
      </c>
      <c r="I36" s="8">
        <f>SUBTOTAL(109,Transportation[July])</f>
        <v>0</v>
      </c>
      <c r="J36" s="8">
        <f>SUBTOTAL(109,Transportation[August])</f>
        <v>0</v>
      </c>
      <c r="K36" s="8">
        <f>SUBTOTAL(109,Transportation[September])</f>
        <v>0</v>
      </c>
      <c r="L36" s="8">
        <f>SUBTOTAL(109,Transportation[October])</f>
        <v>0</v>
      </c>
      <c r="M36" s="8">
        <f>SUBTOTAL(109,Transportation[November])</f>
        <v>0</v>
      </c>
      <c r="N36" s="8">
        <f>SUBTOTAL(109,Transportation[December])</f>
        <v>0</v>
      </c>
      <c r="O36" s="8">
        <f>SUBTOTAL(109,Transportation[Year])</f>
        <v>1156</v>
      </c>
      <c r="P36" s="9"/>
    </row>
    <row r="37" spans="2:16" ht="20.100000000000001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ht="21" customHeight="1" x14ac:dyDescent="0.2">
      <c r="B38" s="13" t="s">
        <v>59</v>
      </c>
      <c r="C38" s="13" t="s">
        <v>91</v>
      </c>
      <c r="D38" s="13" t="s">
        <v>92</v>
      </c>
      <c r="E38" s="13" t="s">
        <v>84</v>
      </c>
      <c r="F38" s="13" t="s">
        <v>85</v>
      </c>
      <c r="G38" s="13" t="s">
        <v>86</v>
      </c>
      <c r="H38" s="13" t="s">
        <v>87</v>
      </c>
      <c r="I38" s="13" t="s">
        <v>88</v>
      </c>
      <c r="J38" s="13" t="s">
        <v>93</v>
      </c>
      <c r="K38" s="13" t="s">
        <v>94</v>
      </c>
      <c r="L38" s="13" t="s">
        <v>95</v>
      </c>
      <c r="M38" s="13" t="s">
        <v>96</v>
      </c>
      <c r="N38" s="13" t="s">
        <v>97</v>
      </c>
      <c r="O38" s="13" t="s">
        <v>89</v>
      </c>
      <c r="P38" s="13" t="s">
        <v>98</v>
      </c>
    </row>
    <row r="39" spans="2:16" ht="15.95" customHeight="1" x14ac:dyDescent="0.2">
      <c r="B39" s="4" t="s">
        <v>15</v>
      </c>
      <c r="C39" s="2">
        <v>85</v>
      </c>
      <c r="D39" s="2">
        <v>85</v>
      </c>
      <c r="E39" s="2">
        <v>85</v>
      </c>
      <c r="F39" s="2"/>
      <c r="G39" s="2"/>
      <c r="H39" s="2"/>
      <c r="I39" s="2"/>
      <c r="J39" s="2"/>
      <c r="K39" s="2"/>
      <c r="L39" s="2"/>
      <c r="M39" s="2"/>
      <c r="N39" s="2"/>
      <c r="O39" s="2">
        <f>SUM(Entertainment[[#This Row],[January]:[December]])</f>
        <v>255</v>
      </c>
      <c r="P39" s="2"/>
    </row>
    <row r="40" spans="2:16" ht="15.95" customHeight="1" x14ac:dyDescent="0.2">
      <c r="B40" s="5" t="s">
        <v>16</v>
      </c>
      <c r="C40" s="3">
        <v>7</v>
      </c>
      <c r="D40" s="3">
        <v>8</v>
      </c>
      <c r="E40" s="3">
        <v>9</v>
      </c>
      <c r="F40" s="3"/>
      <c r="G40" s="3"/>
      <c r="H40" s="3"/>
      <c r="I40" s="3"/>
      <c r="J40" s="3"/>
      <c r="K40" s="3"/>
      <c r="L40" s="3"/>
      <c r="M40" s="3"/>
      <c r="N40" s="3"/>
      <c r="O40" s="3">
        <f>SUM(Entertainment[[#This Row],[January]:[December]])</f>
        <v>24</v>
      </c>
      <c r="P40" s="3"/>
    </row>
    <row r="41" spans="2:16" ht="15.95" customHeight="1" x14ac:dyDescent="0.2">
      <c r="B41" s="5" t="s">
        <v>17</v>
      </c>
      <c r="C41" s="3">
        <v>9</v>
      </c>
      <c r="D41" s="3">
        <v>5</v>
      </c>
      <c r="E41" s="3">
        <v>9</v>
      </c>
      <c r="F41" s="3"/>
      <c r="G41" s="3"/>
      <c r="H41" s="3"/>
      <c r="I41" s="3"/>
      <c r="J41" s="3"/>
      <c r="K41" s="3"/>
      <c r="L41" s="3"/>
      <c r="M41" s="3"/>
      <c r="N41" s="3"/>
      <c r="O41" s="3">
        <f>SUM(Entertainment[[#This Row],[January]:[December]])</f>
        <v>23</v>
      </c>
      <c r="P41" s="3"/>
    </row>
    <row r="42" spans="2:16" ht="15.95" customHeight="1" thickBot="1" x14ac:dyDescent="0.25">
      <c r="B42" s="11" t="s">
        <v>18</v>
      </c>
      <c r="C42" s="10">
        <v>5</v>
      </c>
      <c r="D42" s="10">
        <v>5</v>
      </c>
      <c r="E42" s="10">
        <v>7</v>
      </c>
      <c r="F42" s="10"/>
      <c r="G42" s="10"/>
      <c r="H42" s="10"/>
      <c r="I42" s="10"/>
      <c r="J42" s="10"/>
      <c r="K42" s="10"/>
      <c r="L42" s="10"/>
      <c r="M42" s="10"/>
      <c r="N42" s="10"/>
      <c r="O42" s="10">
        <f>SUM(Entertainment[[#This Row],[January]:[December]])</f>
        <v>17</v>
      </c>
      <c r="P42" s="10"/>
    </row>
    <row r="43" spans="2:16" ht="21" customHeight="1" thickTop="1" x14ac:dyDescent="0.2">
      <c r="B43" s="16" t="s">
        <v>53</v>
      </c>
      <c r="C43" s="8">
        <f>SUBTOTAL(109,Entertainment[January])</f>
        <v>106</v>
      </c>
      <c r="D43" s="8">
        <f>SUBTOTAL(109,Entertainment[February])</f>
        <v>103</v>
      </c>
      <c r="E43" s="8">
        <f>SUBTOTAL(109,Entertainment[March])</f>
        <v>110</v>
      </c>
      <c r="F43" s="8">
        <f>SUBTOTAL(109,Entertainment[April])</f>
        <v>0</v>
      </c>
      <c r="G43" s="8">
        <f>SUBTOTAL(109,Entertainment[May])</f>
        <v>0</v>
      </c>
      <c r="H43" s="8">
        <f>SUBTOTAL(109,Entertainment[June])</f>
        <v>0</v>
      </c>
      <c r="I43" s="8">
        <f>SUBTOTAL(109,Entertainment[July])</f>
        <v>0</v>
      </c>
      <c r="J43" s="8">
        <f>SUBTOTAL(109,Entertainment[August])</f>
        <v>0</v>
      </c>
      <c r="K43" s="8">
        <f>SUBTOTAL(109,Entertainment[September])</f>
        <v>0</v>
      </c>
      <c r="L43" s="8">
        <f>SUBTOTAL(109,Entertainment[October])</f>
        <v>0</v>
      </c>
      <c r="M43" s="8">
        <f>SUBTOTAL(109,Entertainment[November])</f>
        <v>0</v>
      </c>
      <c r="N43" s="8">
        <f>SUBTOTAL(109,Entertainment[December])</f>
        <v>0</v>
      </c>
      <c r="O43" s="8">
        <f>SUBTOTAL(109,Entertainment[Year])</f>
        <v>319</v>
      </c>
      <c r="P43" s="9"/>
    </row>
    <row r="44" spans="2:16" ht="20.100000000000001" customHeight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2:16" ht="21" customHeight="1" x14ac:dyDescent="0.2">
      <c r="B45" s="13" t="s">
        <v>60</v>
      </c>
      <c r="C45" s="13" t="s">
        <v>91</v>
      </c>
      <c r="D45" s="13" t="s">
        <v>92</v>
      </c>
      <c r="E45" s="13" t="s">
        <v>84</v>
      </c>
      <c r="F45" s="13" t="s">
        <v>85</v>
      </c>
      <c r="G45" s="13" t="s">
        <v>86</v>
      </c>
      <c r="H45" s="13" t="s">
        <v>87</v>
      </c>
      <c r="I45" s="13" t="s">
        <v>88</v>
      </c>
      <c r="J45" s="13" t="s">
        <v>93</v>
      </c>
      <c r="K45" s="13" t="s">
        <v>94</v>
      </c>
      <c r="L45" s="13" t="s">
        <v>95</v>
      </c>
      <c r="M45" s="13" t="s">
        <v>96</v>
      </c>
      <c r="N45" s="13" t="s">
        <v>97</v>
      </c>
      <c r="O45" s="13" t="s">
        <v>89</v>
      </c>
      <c r="P45" s="13" t="s">
        <v>98</v>
      </c>
    </row>
    <row r="46" spans="2:16" ht="15.95" customHeight="1" x14ac:dyDescent="0.2">
      <c r="B46" s="4" t="s">
        <v>19</v>
      </c>
      <c r="C46" s="2">
        <v>50</v>
      </c>
      <c r="D46" s="2">
        <v>50</v>
      </c>
      <c r="E46" s="2">
        <v>50</v>
      </c>
      <c r="F46" s="2"/>
      <c r="G46" s="2"/>
      <c r="H46" s="2"/>
      <c r="I46" s="2"/>
      <c r="J46" s="2"/>
      <c r="K46" s="2"/>
      <c r="L46" s="2"/>
      <c r="M46" s="2"/>
      <c r="N46" s="2"/>
      <c r="O46" s="2">
        <f>SUM(Health[[#This Row],[January]:[December]])</f>
        <v>150</v>
      </c>
      <c r="P46" s="2"/>
    </row>
    <row r="47" spans="2:16" ht="15.95" customHeight="1" x14ac:dyDescent="0.2">
      <c r="B47" s="5" t="s">
        <v>10</v>
      </c>
      <c r="C47" s="3">
        <v>225</v>
      </c>
      <c r="D47" s="3">
        <v>225</v>
      </c>
      <c r="E47" s="3">
        <v>225</v>
      </c>
      <c r="F47" s="3"/>
      <c r="G47" s="3"/>
      <c r="H47" s="3"/>
      <c r="I47" s="3"/>
      <c r="J47" s="3"/>
      <c r="K47" s="3"/>
      <c r="L47" s="3"/>
      <c r="M47" s="3"/>
      <c r="N47" s="3"/>
      <c r="O47" s="3">
        <f>SUM(Health[[#This Row],[January]:[December]])</f>
        <v>675</v>
      </c>
      <c r="P47" s="3"/>
    </row>
    <row r="48" spans="2:16" ht="15.95" customHeight="1" x14ac:dyDescent="0.2">
      <c r="B48" s="5" t="s">
        <v>20</v>
      </c>
      <c r="C48" s="3">
        <v>100</v>
      </c>
      <c r="D48" s="3">
        <v>100</v>
      </c>
      <c r="E48" s="3">
        <v>100</v>
      </c>
      <c r="F48" s="3"/>
      <c r="G48" s="3"/>
      <c r="H48" s="3"/>
      <c r="I48" s="3"/>
      <c r="J48" s="3"/>
      <c r="K48" s="3"/>
      <c r="L48" s="3"/>
      <c r="M48" s="3"/>
      <c r="N48" s="3"/>
      <c r="O48" s="3">
        <f>SUM(Health[[#This Row],[January]:[December]])</f>
        <v>300</v>
      </c>
      <c r="P48" s="3"/>
    </row>
    <row r="49" spans="2:16" ht="15.95" customHeight="1" x14ac:dyDescent="0.2">
      <c r="B49" s="5" t="s">
        <v>21</v>
      </c>
      <c r="C49" s="3">
        <v>6</v>
      </c>
      <c r="D49" s="3">
        <v>2</v>
      </c>
      <c r="E49" s="3">
        <v>9</v>
      </c>
      <c r="F49" s="3"/>
      <c r="G49" s="3"/>
      <c r="H49" s="3"/>
      <c r="I49" s="3"/>
      <c r="J49" s="3"/>
      <c r="K49" s="3"/>
      <c r="L49" s="3"/>
      <c r="M49" s="3"/>
      <c r="N49" s="3"/>
      <c r="O49" s="3">
        <f>SUM(Health[[#This Row],[January]:[December]])</f>
        <v>17</v>
      </c>
      <c r="P49" s="3"/>
    </row>
    <row r="50" spans="2:16" ht="15.95" customHeight="1" x14ac:dyDescent="0.2">
      <c r="B50" s="5" t="s">
        <v>22</v>
      </c>
      <c r="C50" s="3">
        <v>20</v>
      </c>
      <c r="D50" s="3"/>
      <c r="E50" s="3">
        <v>41</v>
      </c>
      <c r="F50" s="3"/>
      <c r="G50" s="3"/>
      <c r="H50" s="3"/>
      <c r="I50" s="3"/>
      <c r="J50" s="3"/>
      <c r="K50" s="3"/>
      <c r="L50" s="3"/>
      <c r="M50" s="3"/>
      <c r="N50" s="3"/>
      <c r="O50" s="3">
        <f>SUM(Health[[#This Row],[January]:[December]])</f>
        <v>61</v>
      </c>
      <c r="P50" s="3"/>
    </row>
    <row r="51" spans="2:16" ht="15.95" customHeight="1" x14ac:dyDescent="0.2">
      <c r="B51" s="5" t="s">
        <v>23</v>
      </c>
      <c r="C51" s="3">
        <v>4</v>
      </c>
      <c r="D51" s="3"/>
      <c r="E51" s="3">
        <v>25</v>
      </c>
      <c r="F51" s="3"/>
      <c r="G51" s="3"/>
      <c r="H51" s="3"/>
      <c r="I51" s="3"/>
      <c r="J51" s="3"/>
      <c r="K51" s="3"/>
      <c r="L51" s="3"/>
      <c r="M51" s="3"/>
      <c r="N51" s="3"/>
      <c r="O51" s="3">
        <f>SUM(Health[[#This Row],[January]:[December]])</f>
        <v>29</v>
      </c>
      <c r="P51" s="3"/>
    </row>
    <row r="52" spans="2:16" ht="15.95" customHeight="1" thickBot="1" x14ac:dyDescent="0.25">
      <c r="B52" s="11" t="s">
        <v>24</v>
      </c>
      <c r="C52" s="10">
        <v>55</v>
      </c>
      <c r="D52" s="10">
        <v>55</v>
      </c>
      <c r="E52" s="10">
        <v>55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>SUM(Health[[#This Row],[January]:[December]])</f>
        <v>165</v>
      </c>
      <c r="P52" s="10"/>
    </row>
    <row r="53" spans="2:16" ht="21" customHeight="1" thickTop="1" x14ac:dyDescent="0.2">
      <c r="B53" s="16" t="s">
        <v>53</v>
      </c>
      <c r="C53" s="8">
        <f>SUBTOTAL(109,Health[January])</f>
        <v>460</v>
      </c>
      <c r="D53" s="8">
        <f>SUBTOTAL(109,Health[February])</f>
        <v>432</v>
      </c>
      <c r="E53" s="8">
        <f>SUBTOTAL(109,Health[March])</f>
        <v>505</v>
      </c>
      <c r="F53" s="8">
        <f>SUBTOTAL(109,Health[April])</f>
        <v>0</v>
      </c>
      <c r="G53" s="8">
        <f>SUBTOTAL(109,Health[May])</f>
        <v>0</v>
      </c>
      <c r="H53" s="8">
        <f>SUBTOTAL(109,Health[June])</f>
        <v>0</v>
      </c>
      <c r="I53" s="8">
        <f>SUBTOTAL(109,Health[July])</f>
        <v>0</v>
      </c>
      <c r="J53" s="8">
        <f>SUBTOTAL(109,Health[August])</f>
        <v>0</v>
      </c>
      <c r="K53" s="8">
        <f>SUBTOTAL(109,Health[September])</f>
        <v>0</v>
      </c>
      <c r="L53" s="8">
        <f>SUBTOTAL(109,Health[October])</f>
        <v>0</v>
      </c>
      <c r="M53" s="8">
        <f>SUBTOTAL(109,Health[November])</f>
        <v>0</v>
      </c>
      <c r="N53" s="8">
        <f>SUBTOTAL(109,Health[December])</f>
        <v>0</v>
      </c>
      <c r="O53" s="8">
        <f>SUBTOTAL(109,Health[Year])</f>
        <v>1397</v>
      </c>
      <c r="P53" s="9"/>
    </row>
    <row r="54" spans="2:16" ht="20.100000000000001" customHeight="1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ht="21" customHeight="1" x14ac:dyDescent="0.2">
      <c r="B55" s="13" t="s">
        <v>61</v>
      </c>
      <c r="C55" s="13" t="s">
        <v>91</v>
      </c>
      <c r="D55" s="13" t="s">
        <v>92</v>
      </c>
      <c r="E55" s="13" t="s">
        <v>84</v>
      </c>
      <c r="F55" s="13" t="s">
        <v>85</v>
      </c>
      <c r="G55" s="13" t="s">
        <v>86</v>
      </c>
      <c r="H55" s="13" t="s">
        <v>87</v>
      </c>
      <c r="I55" s="13" t="s">
        <v>88</v>
      </c>
      <c r="J55" s="13" t="s">
        <v>93</v>
      </c>
      <c r="K55" s="13" t="s">
        <v>94</v>
      </c>
      <c r="L55" s="13" t="s">
        <v>95</v>
      </c>
      <c r="M55" s="13" t="s">
        <v>96</v>
      </c>
      <c r="N55" s="13" t="s">
        <v>97</v>
      </c>
      <c r="O55" s="13" t="s">
        <v>89</v>
      </c>
      <c r="P55" s="13" t="s">
        <v>98</v>
      </c>
    </row>
    <row r="56" spans="2:16" ht="15.95" customHeight="1" x14ac:dyDescent="0.2">
      <c r="B56" s="4" t="s">
        <v>25</v>
      </c>
      <c r="C56" s="2"/>
      <c r="D56" s="2">
        <v>485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>
        <f>SUM(Vacations[[#This Row],[January]:[December]])</f>
        <v>485</v>
      </c>
      <c r="P56" s="2"/>
    </row>
    <row r="57" spans="2:16" ht="15.95" customHeight="1" x14ac:dyDescent="0.2">
      <c r="B57" s="5" t="s">
        <v>26</v>
      </c>
      <c r="C57" s="3"/>
      <c r="D57" s="3">
        <v>245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f>SUM(Vacations[[#This Row],[January]:[December]])</f>
        <v>245</v>
      </c>
      <c r="P57" s="3"/>
    </row>
    <row r="58" spans="2:16" ht="15.95" customHeight="1" x14ac:dyDescent="0.2">
      <c r="B58" s="5" t="s">
        <v>27</v>
      </c>
      <c r="C58" s="3"/>
      <c r="D58" s="3">
        <v>95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f>SUM(Vacations[[#This Row],[January]:[December]])</f>
        <v>95</v>
      </c>
      <c r="P58" s="3"/>
    </row>
    <row r="59" spans="2:16" ht="15.95" customHeight="1" x14ac:dyDescent="0.2">
      <c r="B59" s="5" t="s">
        <v>28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>SUM(Vacations[[#This Row],[January]:[December]])</f>
        <v>0</v>
      </c>
      <c r="P59" s="3"/>
    </row>
    <row r="60" spans="2:16" ht="15.95" customHeight="1" x14ac:dyDescent="0.2">
      <c r="B60" s="5" t="s">
        <v>29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f>SUM(Vacations[[#This Row],[January]:[December]])</f>
        <v>0</v>
      </c>
      <c r="P60" s="3"/>
    </row>
    <row r="61" spans="2:16" ht="15.95" customHeight="1" thickBot="1" x14ac:dyDescent="0.25">
      <c r="B61" s="11" t="s">
        <v>30</v>
      </c>
      <c r="C61" s="10"/>
      <c r="D61" s="10">
        <v>85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>
        <f>SUM(Vacations[[#This Row],[January]:[December]])</f>
        <v>85</v>
      </c>
      <c r="P61" s="10"/>
    </row>
    <row r="62" spans="2:16" ht="21" customHeight="1" thickTop="1" x14ac:dyDescent="0.2">
      <c r="B62" s="16" t="s">
        <v>53</v>
      </c>
      <c r="C62" s="8">
        <f>SUBTOTAL(109,Vacations[January])</f>
        <v>0</v>
      </c>
      <c r="D62" s="8">
        <f>SUBTOTAL(109,Vacations[February])</f>
        <v>910</v>
      </c>
      <c r="E62" s="8">
        <f>SUBTOTAL(109,Vacations[March])</f>
        <v>0</v>
      </c>
      <c r="F62" s="8">
        <f>SUBTOTAL(109,Vacations[April])</f>
        <v>0</v>
      </c>
      <c r="G62" s="8">
        <f>SUBTOTAL(109,Vacations[May])</f>
        <v>0</v>
      </c>
      <c r="H62" s="8">
        <f>SUBTOTAL(109,Vacations[June])</f>
        <v>0</v>
      </c>
      <c r="I62" s="8">
        <f>SUBTOTAL(109,Vacations[July])</f>
        <v>0</v>
      </c>
      <c r="J62" s="8">
        <f>SUBTOTAL(109,Vacations[August])</f>
        <v>0</v>
      </c>
      <c r="K62" s="8">
        <f>SUBTOTAL(109,Vacations[September])</f>
        <v>0</v>
      </c>
      <c r="L62" s="8">
        <f>SUBTOTAL(109,Vacations[October])</f>
        <v>0</v>
      </c>
      <c r="M62" s="8">
        <f>SUBTOTAL(109,Vacations[November])</f>
        <v>0</v>
      </c>
      <c r="N62" s="8">
        <f>SUBTOTAL(109,Vacations[December])</f>
        <v>0</v>
      </c>
      <c r="O62" s="8">
        <f>SUBTOTAL(109,Vacations[Year])</f>
        <v>910</v>
      </c>
      <c r="P62" s="9"/>
    </row>
    <row r="63" spans="2:16" ht="20.100000000000001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ht="21" customHeight="1" x14ac:dyDescent="0.2">
      <c r="B64" s="13" t="s">
        <v>62</v>
      </c>
      <c r="C64" s="13" t="s">
        <v>91</v>
      </c>
      <c r="D64" s="13" t="s">
        <v>92</v>
      </c>
      <c r="E64" s="13" t="s">
        <v>84</v>
      </c>
      <c r="F64" s="13" t="s">
        <v>85</v>
      </c>
      <c r="G64" s="13" t="s">
        <v>86</v>
      </c>
      <c r="H64" s="13" t="s">
        <v>87</v>
      </c>
      <c r="I64" s="13" t="s">
        <v>88</v>
      </c>
      <c r="J64" s="13" t="s">
        <v>93</v>
      </c>
      <c r="K64" s="13" t="s">
        <v>94</v>
      </c>
      <c r="L64" s="13" t="s">
        <v>95</v>
      </c>
      <c r="M64" s="13" t="s">
        <v>96</v>
      </c>
      <c r="N64" s="13" t="s">
        <v>97</v>
      </c>
      <c r="O64" s="13" t="s">
        <v>89</v>
      </c>
      <c r="P64" s="13" t="s">
        <v>98</v>
      </c>
    </row>
    <row r="65" spans="2:16" ht="15.95" customHeight="1" x14ac:dyDescent="0.2">
      <c r="B65" s="4" t="s">
        <v>31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>SUM(Recreation[[#This Row],[January]:[December]])</f>
        <v>0</v>
      </c>
      <c r="P65" s="2"/>
    </row>
    <row r="66" spans="2:16" ht="15.95" customHeight="1" x14ac:dyDescent="0.2">
      <c r="B66" s="5" t="s">
        <v>32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f>SUM(Recreation[[#This Row],[January]:[December]])</f>
        <v>0</v>
      </c>
      <c r="P66" s="3"/>
    </row>
    <row r="67" spans="2:16" ht="15.95" customHeight="1" x14ac:dyDescent="0.2">
      <c r="B67" s="5" t="s">
        <v>33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f>SUM(Recreation[[#This Row],[January]:[December]])</f>
        <v>0</v>
      </c>
      <c r="P67" s="3"/>
    </row>
    <row r="68" spans="2:16" ht="15.95" customHeight="1" thickBot="1" x14ac:dyDescent="0.25">
      <c r="B68" s="11" t="s">
        <v>34</v>
      </c>
      <c r="C68" s="10">
        <v>39</v>
      </c>
      <c r="D68" s="10">
        <v>33</v>
      </c>
      <c r="E68" s="10">
        <v>40</v>
      </c>
      <c r="F68" s="10"/>
      <c r="G68" s="10"/>
      <c r="H68" s="10"/>
      <c r="I68" s="10"/>
      <c r="J68" s="10"/>
      <c r="K68" s="10"/>
      <c r="L68" s="10"/>
      <c r="M68" s="10"/>
      <c r="N68" s="10"/>
      <c r="O68" s="10">
        <f>SUM(Recreation[[#This Row],[January]:[December]])</f>
        <v>112</v>
      </c>
      <c r="P68" s="10"/>
    </row>
    <row r="69" spans="2:16" ht="21" customHeight="1" thickTop="1" x14ac:dyDescent="0.2">
      <c r="B69" s="16" t="s">
        <v>53</v>
      </c>
      <c r="C69" s="8">
        <f>SUBTOTAL(109,Recreation[January])</f>
        <v>39</v>
      </c>
      <c r="D69" s="8">
        <f>SUBTOTAL(109,Recreation[February])</f>
        <v>33</v>
      </c>
      <c r="E69" s="8">
        <f>SUBTOTAL(109,Recreation[March])</f>
        <v>40</v>
      </c>
      <c r="F69" s="8">
        <f>SUBTOTAL(109,Recreation[April])</f>
        <v>0</v>
      </c>
      <c r="G69" s="8">
        <f>SUBTOTAL(109,Recreation[May])</f>
        <v>0</v>
      </c>
      <c r="H69" s="8">
        <f>SUBTOTAL(109,Recreation[June])</f>
        <v>0</v>
      </c>
      <c r="I69" s="8">
        <f>SUBTOTAL(109,Recreation[July])</f>
        <v>0</v>
      </c>
      <c r="J69" s="8">
        <f>SUBTOTAL(109,Recreation[August])</f>
        <v>0</v>
      </c>
      <c r="K69" s="8">
        <f>SUBTOTAL(109,Recreation[September])</f>
        <v>0</v>
      </c>
      <c r="L69" s="8">
        <f>SUBTOTAL(109,Recreation[October])</f>
        <v>0</v>
      </c>
      <c r="M69" s="8">
        <f>SUBTOTAL(109,Recreation[November])</f>
        <v>0</v>
      </c>
      <c r="N69" s="8">
        <f>SUBTOTAL(109,Recreation[December])</f>
        <v>0</v>
      </c>
      <c r="O69" s="8">
        <f>SUBTOTAL(109,Recreation[Year])</f>
        <v>112</v>
      </c>
      <c r="P69" s="9"/>
    </row>
    <row r="70" spans="2:16" ht="20.100000000000001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21" customHeight="1" x14ac:dyDescent="0.2">
      <c r="B71" s="13" t="s">
        <v>63</v>
      </c>
      <c r="C71" s="13" t="s">
        <v>91</v>
      </c>
      <c r="D71" s="13" t="s">
        <v>92</v>
      </c>
      <c r="E71" s="13" t="s">
        <v>84</v>
      </c>
      <c r="F71" s="13" t="s">
        <v>85</v>
      </c>
      <c r="G71" s="13" t="s">
        <v>86</v>
      </c>
      <c r="H71" s="13" t="s">
        <v>87</v>
      </c>
      <c r="I71" s="13" t="s">
        <v>88</v>
      </c>
      <c r="J71" s="13" t="s">
        <v>93</v>
      </c>
      <c r="K71" s="13" t="s">
        <v>94</v>
      </c>
      <c r="L71" s="13" t="s">
        <v>95</v>
      </c>
      <c r="M71" s="13" t="s">
        <v>96</v>
      </c>
      <c r="N71" s="13" t="s">
        <v>97</v>
      </c>
      <c r="O71" s="13" t="s">
        <v>89</v>
      </c>
      <c r="P71" s="13" t="s">
        <v>98</v>
      </c>
    </row>
    <row r="72" spans="2:16" ht="15.95" customHeight="1" x14ac:dyDescent="0.2">
      <c r="B72" s="4" t="s">
        <v>35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>SUM(DuesAndSubscription[[#This Row],[January]:[December]])</f>
        <v>0</v>
      </c>
      <c r="P72" s="2"/>
    </row>
    <row r="73" spans="2:16" ht="15.95" customHeight="1" x14ac:dyDescent="0.2">
      <c r="B73" s="5" t="s">
        <v>36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f>SUM(DuesAndSubscription[[#This Row],[January]:[December]])</f>
        <v>0</v>
      </c>
      <c r="P73" s="3"/>
    </row>
    <row r="74" spans="2:16" ht="15.95" customHeight="1" x14ac:dyDescent="0.2">
      <c r="B74" s="5" t="s">
        <v>37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f>SUM(DuesAndSubscription[[#This Row],[January]:[December]])</f>
        <v>0</v>
      </c>
      <c r="P74" s="3"/>
    </row>
    <row r="75" spans="2:16" ht="15.95" customHeight="1" x14ac:dyDescent="0.2">
      <c r="B75" s="5" t="s">
        <v>38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f>SUM(DuesAndSubscription[[#This Row],[January]:[December]])</f>
        <v>0</v>
      </c>
      <c r="P75" s="3"/>
    </row>
    <row r="76" spans="2:16" ht="15.95" customHeight="1" x14ac:dyDescent="0.2">
      <c r="B76" s="5" t="s">
        <v>39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f>SUM(DuesAndSubscription[[#This Row],[January]:[December]])</f>
        <v>0</v>
      </c>
      <c r="P76" s="3"/>
    </row>
    <row r="77" spans="2:16" ht="15.95" customHeight="1" x14ac:dyDescent="0.2">
      <c r="B77" s="5" t="s">
        <v>40</v>
      </c>
      <c r="C77" s="3">
        <v>29</v>
      </c>
      <c r="D77" s="3">
        <v>18</v>
      </c>
      <c r="E77" s="3">
        <v>17</v>
      </c>
      <c r="F77" s="3"/>
      <c r="G77" s="3"/>
      <c r="H77" s="3"/>
      <c r="I77" s="3"/>
      <c r="J77" s="3"/>
      <c r="K77" s="3"/>
      <c r="L77" s="3"/>
      <c r="M77" s="3"/>
      <c r="N77" s="3"/>
      <c r="O77" s="3">
        <f>SUM(DuesAndSubscription[[#This Row],[January]:[December]])</f>
        <v>64</v>
      </c>
      <c r="P77" s="3"/>
    </row>
    <row r="78" spans="2:16" ht="15.95" customHeight="1" thickBot="1" x14ac:dyDescent="0.25">
      <c r="B78" s="11" t="s">
        <v>41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>
        <f>SUM(DuesAndSubscription[[#This Row],[January]:[December]])</f>
        <v>0</v>
      </c>
      <c r="P78" s="10"/>
    </row>
    <row r="79" spans="2:16" ht="21" customHeight="1" thickTop="1" x14ac:dyDescent="0.2">
      <c r="B79" s="16" t="s">
        <v>53</v>
      </c>
      <c r="C79" s="8">
        <f>SUBTOTAL(109,DuesAndSubscription[January])</f>
        <v>29</v>
      </c>
      <c r="D79" s="8">
        <f>SUBTOTAL(109,DuesAndSubscription[February])</f>
        <v>18</v>
      </c>
      <c r="E79" s="8">
        <f>SUBTOTAL(109,DuesAndSubscription[March])</f>
        <v>17</v>
      </c>
      <c r="F79" s="8">
        <f>SUBTOTAL(109,DuesAndSubscription[April])</f>
        <v>0</v>
      </c>
      <c r="G79" s="8">
        <f>SUBTOTAL(109,DuesAndSubscription[May])</f>
        <v>0</v>
      </c>
      <c r="H79" s="8">
        <f>SUBTOTAL(109,DuesAndSubscription[June])</f>
        <v>0</v>
      </c>
      <c r="I79" s="8">
        <f>SUBTOTAL(109,DuesAndSubscription[July])</f>
        <v>0</v>
      </c>
      <c r="J79" s="8">
        <f>SUBTOTAL(109,DuesAndSubscription[August])</f>
        <v>0</v>
      </c>
      <c r="K79" s="8">
        <f>SUBTOTAL(109,DuesAndSubscription[September])</f>
        <v>0</v>
      </c>
      <c r="L79" s="8">
        <f>SUBTOTAL(109,DuesAndSubscription[October])</f>
        <v>0</v>
      </c>
      <c r="M79" s="8">
        <f>SUBTOTAL(109,DuesAndSubscription[November])</f>
        <v>0</v>
      </c>
      <c r="N79" s="8">
        <f>SUBTOTAL(109,DuesAndSubscription[December])</f>
        <v>0</v>
      </c>
      <c r="O79" s="8">
        <f>SUBTOTAL(109,DuesAndSubscription[Year])</f>
        <v>64</v>
      </c>
      <c r="P79" s="9"/>
    </row>
    <row r="80" spans="2:16" ht="20.100000000000001" customHeight="1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ht="21" customHeight="1" x14ac:dyDescent="0.2">
      <c r="B81" s="13" t="s">
        <v>64</v>
      </c>
      <c r="C81" s="13" t="s">
        <v>91</v>
      </c>
      <c r="D81" s="13" t="s">
        <v>92</v>
      </c>
      <c r="E81" s="13" t="s">
        <v>84</v>
      </c>
      <c r="F81" s="13" t="s">
        <v>85</v>
      </c>
      <c r="G81" s="13" t="s">
        <v>86</v>
      </c>
      <c r="H81" s="13" t="s">
        <v>87</v>
      </c>
      <c r="I81" s="13" t="s">
        <v>88</v>
      </c>
      <c r="J81" s="13" t="s">
        <v>93</v>
      </c>
      <c r="K81" s="13" t="s">
        <v>94</v>
      </c>
      <c r="L81" s="13" t="s">
        <v>95</v>
      </c>
      <c r="M81" s="13" t="s">
        <v>96</v>
      </c>
      <c r="N81" s="13" t="s">
        <v>97</v>
      </c>
      <c r="O81" s="13" t="s">
        <v>89</v>
      </c>
      <c r="P81" s="13" t="s">
        <v>98</v>
      </c>
    </row>
    <row r="82" spans="2:16" ht="15.95" customHeight="1" x14ac:dyDescent="0.2">
      <c r="B82" s="4" t="s">
        <v>42</v>
      </c>
      <c r="C82" s="2"/>
      <c r="D82" s="2"/>
      <c r="E82" s="2">
        <v>29</v>
      </c>
      <c r="F82" s="2"/>
      <c r="G82" s="2"/>
      <c r="H82" s="2"/>
      <c r="I82" s="2"/>
      <c r="J82" s="2"/>
      <c r="K82" s="2"/>
      <c r="L82" s="2"/>
      <c r="M82" s="2"/>
      <c r="N82" s="2"/>
      <c r="O82" s="2">
        <f>SUM(Personal[[#This Row],[January]:[December]])</f>
        <v>29</v>
      </c>
      <c r="P82" s="2"/>
    </row>
    <row r="83" spans="2:16" ht="15.95" customHeight="1" x14ac:dyDescent="0.2">
      <c r="B83" s="5" t="s">
        <v>43</v>
      </c>
      <c r="C83" s="3"/>
      <c r="D83" s="3">
        <v>35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f>SUM(Personal[[#This Row],[January]:[December]])</f>
        <v>35</v>
      </c>
      <c r="P83" s="3"/>
    </row>
    <row r="84" spans="2:16" ht="15.95" customHeight="1" x14ac:dyDescent="0.2">
      <c r="B84" s="5" t="s">
        <v>44</v>
      </c>
      <c r="C84" s="3">
        <v>25</v>
      </c>
      <c r="D84" s="3">
        <v>25</v>
      </c>
      <c r="E84" s="3">
        <v>25</v>
      </c>
      <c r="F84" s="3"/>
      <c r="G84" s="3"/>
      <c r="H84" s="3"/>
      <c r="I84" s="3"/>
      <c r="J84" s="3"/>
      <c r="K84" s="3"/>
      <c r="L84" s="3"/>
      <c r="M84" s="3"/>
      <c r="N84" s="3"/>
      <c r="O84" s="3">
        <f>SUM(Personal[[#This Row],[January]:[December]])</f>
        <v>75</v>
      </c>
      <c r="P84" s="3"/>
    </row>
    <row r="85" spans="2:16" ht="15.95" customHeight="1" x14ac:dyDescent="0.2">
      <c r="B85" s="5" t="s">
        <v>45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f>SUM(Personal[[#This Row],[January]:[December]])</f>
        <v>0</v>
      </c>
      <c r="P85" s="3"/>
    </row>
    <row r="86" spans="2:16" ht="15.95" customHeight="1" thickBot="1" x14ac:dyDescent="0.25">
      <c r="B86" s="11" t="s">
        <v>46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f>SUM(Personal[[#This Row],[January]:[December]])</f>
        <v>0</v>
      </c>
      <c r="P86" s="10"/>
    </row>
    <row r="87" spans="2:16" ht="21" customHeight="1" thickTop="1" x14ac:dyDescent="0.2">
      <c r="B87" s="16" t="s">
        <v>53</v>
      </c>
      <c r="C87" s="8">
        <f>SUBTOTAL(109,Personal[January])</f>
        <v>25</v>
      </c>
      <c r="D87" s="8">
        <f>SUBTOTAL(109,Personal[February])</f>
        <v>60</v>
      </c>
      <c r="E87" s="8">
        <f>SUBTOTAL(109,Personal[March])</f>
        <v>54</v>
      </c>
      <c r="F87" s="8">
        <f>SUBTOTAL(109,Personal[April])</f>
        <v>0</v>
      </c>
      <c r="G87" s="8">
        <f>SUBTOTAL(109,Personal[May])</f>
        <v>0</v>
      </c>
      <c r="H87" s="8">
        <f>SUBTOTAL(109,Personal[June])</f>
        <v>0</v>
      </c>
      <c r="I87" s="8">
        <f>SUBTOTAL(109,Personal[July])</f>
        <v>0</v>
      </c>
      <c r="J87" s="8">
        <f>SUBTOTAL(109,Personal[August])</f>
        <v>0</v>
      </c>
      <c r="K87" s="8">
        <f>SUBTOTAL(109,Personal[September])</f>
        <v>0</v>
      </c>
      <c r="L87" s="8">
        <f>SUBTOTAL(109,Personal[October])</f>
        <v>0</v>
      </c>
      <c r="M87" s="8">
        <f>SUBTOTAL(109,Personal[November])</f>
        <v>0</v>
      </c>
      <c r="N87" s="8">
        <f>SUBTOTAL(109,Personal[December])</f>
        <v>0</v>
      </c>
      <c r="O87" s="8">
        <f>SUBTOTAL(109,Personal[Year])</f>
        <v>139</v>
      </c>
      <c r="P87" s="9"/>
    </row>
    <row r="88" spans="2:16" ht="20.100000000000001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21" customHeight="1" x14ac:dyDescent="0.2">
      <c r="B89" s="13" t="s">
        <v>65</v>
      </c>
      <c r="C89" s="13" t="s">
        <v>91</v>
      </c>
      <c r="D89" s="13" t="s">
        <v>92</v>
      </c>
      <c r="E89" s="13" t="s">
        <v>84</v>
      </c>
      <c r="F89" s="13" t="s">
        <v>85</v>
      </c>
      <c r="G89" s="13" t="s">
        <v>86</v>
      </c>
      <c r="H89" s="13" t="s">
        <v>87</v>
      </c>
      <c r="I89" s="13" t="s">
        <v>88</v>
      </c>
      <c r="J89" s="13" t="s">
        <v>93</v>
      </c>
      <c r="K89" s="13" t="s">
        <v>94</v>
      </c>
      <c r="L89" s="13" t="s">
        <v>95</v>
      </c>
      <c r="M89" s="13" t="s">
        <v>96</v>
      </c>
      <c r="N89" s="13" t="s">
        <v>97</v>
      </c>
      <c r="O89" s="13" t="s">
        <v>89</v>
      </c>
      <c r="P89" s="13" t="s">
        <v>98</v>
      </c>
    </row>
    <row r="90" spans="2:16" ht="15.95" customHeight="1" x14ac:dyDescent="0.2">
      <c r="B90" s="4" t="s">
        <v>47</v>
      </c>
      <c r="C90" s="2">
        <v>25</v>
      </c>
      <c r="D90" s="2">
        <v>25</v>
      </c>
      <c r="E90" s="2">
        <v>25</v>
      </c>
      <c r="F90" s="2"/>
      <c r="G90" s="2"/>
      <c r="H90" s="2"/>
      <c r="I90" s="2"/>
      <c r="J90" s="2"/>
      <c r="K90" s="2"/>
      <c r="L90" s="2"/>
      <c r="M90" s="2"/>
      <c r="N90" s="2"/>
      <c r="O90" s="2">
        <f>SUM(Financial[[#This Row],[January]:[December]])</f>
        <v>75</v>
      </c>
      <c r="P90" s="2"/>
    </row>
    <row r="91" spans="2:16" ht="15.95" customHeight="1" x14ac:dyDescent="0.2">
      <c r="B91" s="5" t="s">
        <v>48</v>
      </c>
      <c r="C91" s="3">
        <v>45</v>
      </c>
      <c r="D91" s="3">
        <v>45</v>
      </c>
      <c r="E91" s="3">
        <v>45</v>
      </c>
      <c r="F91" s="3"/>
      <c r="G91" s="3"/>
      <c r="H91" s="3"/>
      <c r="I91" s="3"/>
      <c r="J91" s="3"/>
      <c r="K91" s="3"/>
      <c r="L91" s="3"/>
      <c r="M91" s="3"/>
      <c r="N91" s="3"/>
      <c r="O91" s="3">
        <f>SUM(Financial[[#This Row],[January]:[December]])</f>
        <v>135</v>
      </c>
      <c r="P91" s="3"/>
    </row>
    <row r="92" spans="2:16" ht="15.95" customHeight="1" x14ac:dyDescent="0.2">
      <c r="B92" s="5" t="s">
        <v>49</v>
      </c>
      <c r="C92" s="3">
        <v>75</v>
      </c>
      <c r="D92" s="3">
        <v>75</v>
      </c>
      <c r="E92" s="3">
        <v>75</v>
      </c>
      <c r="F92" s="3"/>
      <c r="G92" s="3"/>
      <c r="H92" s="3"/>
      <c r="I92" s="3"/>
      <c r="J92" s="3"/>
      <c r="K92" s="3"/>
      <c r="L92" s="3"/>
      <c r="M92" s="3"/>
      <c r="N92" s="3"/>
      <c r="O92" s="3">
        <f>SUM(Financial[[#This Row],[January]:[December]])</f>
        <v>225</v>
      </c>
      <c r="P92" s="3"/>
    </row>
    <row r="93" spans="2:16" ht="15.95" customHeight="1" x14ac:dyDescent="0.2">
      <c r="B93" s="5" t="s">
        <v>50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>
        <f>SUM(Financial[[#This Row],[January]:[December]])</f>
        <v>0</v>
      </c>
      <c r="P93" s="3"/>
    </row>
    <row r="94" spans="2:16" ht="15.95" customHeight="1" thickBot="1" x14ac:dyDescent="0.25">
      <c r="B94" s="11" t="s">
        <v>51</v>
      </c>
      <c r="C94" s="10">
        <v>32</v>
      </c>
      <c r="D94" s="10">
        <v>34</v>
      </c>
      <c r="E94" s="10">
        <v>1</v>
      </c>
      <c r="F94" s="10"/>
      <c r="G94" s="10"/>
      <c r="H94" s="10"/>
      <c r="I94" s="10"/>
      <c r="J94" s="10"/>
      <c r="K94" s="10"/>
      <c r="L94" s="10"/>
      <c r="M94" s="10"/>
      <c r="N94" s="10"/>
      <c r="O94" s="10">
        <f>SUM(Financial[[#This Row],[January]:[December]])</f>
        <v>67</v>
      </c>
      <c r="P94" s="10"/>
    </row>
    <row r="95" spans="2:16" ht="21" customHeight="1" thickTop="1" x14ac:dyDescent="0.2">
      <c r="B95" s="16" t="s">
        <v>53</v>
      </c>
      <c r="C95" s="8">
        <f>SUBTOTAL(109,Financial[January])</f>
        <v>177</v>
      </c>
      <c r="D95" s="8">
        <f>SUBTOTAL(109,Financial[February])</f>
        <v>179</v>
      </c>
      <c r="E95" s="8">
        <f>SUBTOTAL(109,Financial[March])</f>
        <v>146</v>
      </c>
      <c r="F95" s="8">
        <f>SUBTOTAL(109,Financial[April])</f>
        <v>0</v>
      </c>
      <c r="G95" s="8">
        <f>SUBTOTAL(109,Financial[May])</f>
        <v>0</v>
      </c>
      <c r="H95" s="8">
        <f>SUBTOTAL(109,Financial[June])</f>
        <v>0</v>
      </c>
      <c r="I95" s="8">
        <f>SUBTOTAL(109,Financial[July])</f>
        <v>0</v>
      </c>
      <c r="J95" s="8">
        <f>SUBTOTAL(109,Financial[August])</f>
        <v>0</v>
      </c>
      <c r="K95" s="8">
        <f>SUBTOTAL(109,Financial[September])</f>
        <v>0</v>
      </c>
      <c r="L95" s="8">
        <f>SUBTOTAL(109,Financial[October])</f>
        <v>0</v>
      </c>
      <c r="M95" s="8">
        <f>SUBTOTAL(109,Financial[November])</f>
        <v>0</v>
      </c>
      <c r="N95" s="8">
        <f>SUBTOTAL(109,Financial[December])</f>
        <v>0</v>
      </c>
      <c r="O95" s="8">
        <f>SUBTOTAL(109,Financial[Year])</f>
        <v>502</v>
      </c>
      <c r="P95" s="9"/>
    </row>
    <row r="96" spans="2:16" ht="20.100000000000001" customHeight="1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21" customHeight="1" x14ac:dyDescent="0.2">
      <c r="B97" s="13" t="s">
        <v>66</v>
      </c>
      <c r="C97" s="13" t="s">
        <v>91</v>
      </c>
      <c r="D97" s="13" t="s">
        <v>92</v>
      </c>
      <c r="E97" s="13" t="s">
        <v>84</v>
      </c>
      <c r="F97" s="13" t="s">
        <v>85</v>
      </c>
      <c r="G97" s="13" t="s">
        <v>86</v>
      </c>
      <c r="H97" s="13" t="s">
        <v>87</v>
      </c>
      <c r="I97" s="13" t="s">
        <v>88</v>
      </c>
      <c r="J97" s="13" t="s">
        <v>93</v>
      </c>
      <c r="K97" s="13" t="s">
        <v>94</v>
      </c>
      <c r="L97" s="13" t="s">
        <v>95</v>
      </c>
      <c r="M97" s="13" t="s">
        <v>96</v>
      </c>
      <c r="N97" s="13" t="s">
        <v>97</v>
      </c>
      <c r="O97" s="13" t="s">
        <v>89</v>
      </c>
      <c r="P97" s="13" t="s">
        <v>98</v>
      </c>
    </row>
    <row r="98" spans="2:16" ht="15.95" customHeight="1" x14ac:dyDescent="0.2">
      <c r="B98" s="4" t="s">
        <v>52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>
        <f>SUM(Misc[[#This Row],[January]:[December]])</f>
        <v>0</v>
      </c>
      <c r="P98" s="2"/>
    </row>
    <row r="99" spans="2:16" ht="15.95" customHeight="1" x14ac:dyDescent="0.2">
      <c r="B99" s="5" t="s">
        <v>52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f>SUM(Misc[[#This Row],[January]:[December]])</f>
        <v>0</v>
      </c>
      <c r="P99" s="3"/>
    </row>
    <row r="100" spans="2:16" ht="15.95" customHeight="1" x14ac:dyDescent="0.2">
      <c r="B100" s="5" t="s">
        <v>52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>
        <f>SUM(Misc[[#This Row],[January]:[December]])</f>
        <v>0</v>
      </c>
      <c r="P100" s="3"/>
    </row>
    <row r="101" spans="2:16" ht="15.95" customHeight="1" x14ac:dyDescent="0.2">
      <c r="B101" s="5" t="s">
        <v>52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f>SUM(Misc[[#This Row],[January]:[December]])</f>
        <v>0</v>
      </c>
      <c r="P101" s="3"/>
    </row>
    <row r="102" spans="2:16" ht="15.95" customHeight="1" thickBot="1" x14ac:dyDescent="0.25">
      <c r="B102" s="11" t="s">
        <v>52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f>SUM(Misc[[#This Row],[January]:[December]])</f>
        <v>0</v>
      </c>
      <c r="P102" s="10"/>
    </row>
    <row r="103" spans="2:16" ht="21" customHeight="1" thickTop="1" x14ac:dyDescent="0.2">
      <c r="B103" s="16" t="s">
        <v>53</v>
      </c>
      <c r="C103" s="8">
        <f>SUBTOTAL(109,Misc[January])</f>
        <v>0</v>
      </c>
      <c r="D103" s="8">
        <f>SUBTOTAL(109,Misc[February])</f>
        <v>0</v>
      </c>
      <c r="E103" s="8">
        <f>SUBTOTAL(109,Misc[March])</f>
        <v>0</v>
      </c>
      <c r="F103" s="8">
        <f>SUBTOTAL(109,Misc[April])</f>
        <v>0</v>
      </c>
      <c r="G103" s="8">
        <f>SUBTOTAL(109,Misc[May])</f>
        <v>0</v>
      </c>
      <c r="H103" s="8">
        <f>SUBTOTAL(109,Misc[June])</f>
        <v>0</v>
      </c>
      <c r="I103" s="8">
        <f>SUBTOTAL(109,Misc[July])</f>
        <v>0</v>
      </c>
      <c r="J103" s="8">
        <f>SUBTOTAL(109,Misc[August])</f>
        <v>0</v>
      </c>
      <c r="K103" s="8">
        <f>SUBTOTAL(109,Misc[September])</f>
        <v>0</v>
      </c>
      <c r="L103" s="8">
        <f>SUBTOTAL(109,Misc[October])</f>
        <v>0</v>
      </c>
      <c r="M103" s="8">
        <f>SUBTOTAL(109,Misc[November])</f>
        <v>0</v>
      </c>
      <c r="N103" s="8">
        <f>SUBTOTAL(109,Misc[December])</f>
        <v>0</v>
      </c>
      <c r="O103" s="8">
        <f>SUBTOTAL(109,Misc[Year])</f>
        <v>0</v>
      </c>
      <c r="P103" s="9"/>
    </row>
  </sheetData>
  <mergeCells count="10">
    <mergeCell ref="A2:P2"/>
    <mergeCell ref="B28:P28"/>
    <mergeCell ref="B96:P96"/>
    <mergeCell ref="B88:P88"/>
    <mergeCell ref="B80:P80"/>
    <mergeCell ref="B70:P70"/>
    <mergeCell ref="B63:P63"/>
    <mergeCell ref="B54:P54"/>
    <mergeCell ref="B44:P44"/>
    <mergeCell ref="B37:P37"/>
  </mergeCells>
  <printOptions horizontalCentered="1"/>
  <pageMargins left="0.4" right="0.4" top="0.4" bottom="0.4" header="0.3" footer="0.3"/>
  <pageSetup scale="65" fitToHeight="0" orientation="landscape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BUDGET'!C14:N14</xm:f>
              <xm:sqref>P14</xm:sqref>
            </x14:sparkline>
            <x14:sparkline>
              <xm:f>'PERSONAL BUDGET'!C15:N15</xm:f>
              <xm:sqref>P15</xm:sqref>
            </x14:sparkline>
            <x14:sparkline>
              <xm:f>'PERSONAL BUDGET'!C16:N16</xm:f>
              <xm:sqref>P16</xm:sqref>
            </x14:sparkline>
            <x14:sparkline>
              <xm:f>'PERSONAL BUDGET'!C17:N17</xm:f>
              <xm:sqref>P17</xm:sqref>
            </x14:sparkline>
            <x14:sparkline>
              <xm:f>'PERSONAL BUDGET'!C18:N18</xm:f>
              <xm:sqref>P18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BUDGET'!C6:N6</xm:f>
              <xm:sqref>P6</xm:sqref>
            </x14:sparkline>
            <x14:sparkline>
              <xm:f>'PERSONAL BUDGET'!C7:N7</xm:f>
              <xm:sqref>P7</xm:sqref>
            </x14:sparkline>
            <x14:sparkline>
              <xm:f>'PERSONAL BUDGET'!C8:N8</xm:f>
              <xm:sqref>P8</xm:sqref>
            </x14:sparkline>
            <x14:sparkline>
              <xm:f>'PERSONAL BUDGET'!C9:N9</xm:f>
              <xm:sqref>P9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BUDGET'!C13:N13</xm:f>
              <xm:sqref>P13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BUDGET'!C21:N21</xm:f>
              <xm:sqref>P21</xm:sqref>
            </x14:sparkline>
            <x14:sparkline>
              <xm:f>'PERSONAL BUDGET'!C22:N22</xm:f>
              <xm:sqref>P22</xm:sqref>
            </x14:sparkline>
            <x14:sparkline>
              <xm:f>'PERSONAL BUDGET'!C23:N23</xm:f>
              <xm:sqref>P23</xm:sqref>
            </x14:sparkline>
            <x14:sparkline>
              <xm:f>'PERSONAL BUDGET'!C24:N24</xm:f>
              <xm:sqref>P24</xm:sqref>
            </x14:sparkline>
            <x14:sparkline>
              <xm:f>'PERSONAL BUDGET'!C25:N25</xm:f>
              <xm:sqref>P25</xm:sqref>
            </x14:sparkline>
            <x14:sparkline>
              <xm:f>'PERSONAL BUDGET'!C26:N26</xm:f>
              <xm:sqref>P26</xm:sqref>
            </x14:sparkline>
            <x14:sparkline>
              <xm:f>'PERSONAL BUDGET'!C27:N27</xm:f>
              <xm:sqref>P27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BUDGET'!C30:N30</xm:f>
              <xm:sqref>P30</xm:sqref>
            </x14:sparkline>
            <x14:sparkline>
              <xm:f>'PERSONAL BUDGET'!C31:N31</xm:f>
              <xm:sqref>P31</xm:sqref>
            </x14:sparkline>
            <x14:sparkline>
              <xm:f>'PERSONAL BUDGET'!C32:N32</xm:f>
              <xm:sqref>P32</xm:sqref>
            </x14:sparkline>
            <x14:sparkline>
              <xm:f>'PERSONAL BUDGET'!C33:N33</xm:f>
              <xm:sqref>P33</xm:sqref>
            </x14:sparkline>
            <x14:sparkline>
              <xm:f>'PERSONAL BUDGET'!C34:N34</xm:f>
              <xm:sqref>P34</xm:sqref>
            </x14:sparkline>
            <x14:sparkline>
              <xm:f>'PERSONAL BUDGET'!C35:N35</xm:f>
              <xm:sqref>P35</xm:sqref>
            </x14:sparkline>
            <x14:sparkline>
              <xm:f>'PERSONAL BUDGET'!C36:N36</xm:f>
              <xm:sqref>P36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BUDGET'!C39:N39</xm:f>
              <xm:sqref>P39</xm:sqref>
            </x14:sparkline>
            <x14:sparkline>
              <xm:f>'PERSONAL BUDGET'!C40:N40</xm:f>
              <xm:sqref>P40</xm:sqref>
            </x14:sparkline>
            <x14:sparkline>
              <xm:f>'PERSONAL BUDGET'!C41:N41</xm:f>
              <xm:sqref>P41</xm:sqref>
            </x14:sparkline>
            <x14:sparkline>
              <xm:f>'PERSONAL BUDGET'!C42:N42</xm:f>
              <xm:sqref>P42</xm:sqref>
            </x14:sparkline>
            <x14:sparkline>
              <xm:f>'PERSONAL BUDGET'!C43:N43</xm:f>
              <xm:sqref>P43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BUDGET'!C46:N46</xm:f>
              <xm:sqref>P46</xm:sqref>
            </x14:sparkline>
            <x14:sparkline>
              <xm:f>'PERSONAL BUDGET'!C47:N47</xm:f>
              <xm:sqref>P47</xm:sqref>
            </x14:sparkline>
            <x14:sparkline>
              <xm:f>'PERSONAL BUDGET'!C48:N48</xm:f>
              <xm:sqref>P48</xm:sqref>
            </x14:sparkline>
            <x14:sparkline>
              <xm:f>'PERSONAL BUDGET'!C49:N49</xm:f>
              <xm:sqref>P49</xm:sqref>
            </x14:sparkline>
            <x14:sparkline>
              <xm:f>'PERSONAL BUDGET'!C50:N50</xm:f>
              <xm:sqref>P50</xm:sqref>
            </x14:sparkline>
            <x14:sparkline>
              <xm:f>'PERSONAL BUDGET'!C51:N51</xm:f>
              <xm:sqref>P51</xm:sqref>
            </x14:sparkline>
            <x14:sparkline>
              <xm:f>'PERSONAL BUDGET'!C52:N52</xm:f>
              <xm:sqref>P52</xm:sqref>
            </x14:sparkline>
            <x14:sparkline>
              <xm:f>'PERSONAL BUDGET'!C53:N53</xm:f>
              <xm:sqref>P53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BUDGET'!C56:N56</xm:f>
              <xm:sqref>P56</xm:sqref>
            </x14:sparkline>
            <x14:sparkline>
              <xm:f>'PERSONAL BUDGET'!C57:N57</xm:f>
              <xm:sqref>P57</xm:sqref>
            </x14:sparkline>
            <x14:sparkline>
              <xm:f>'PERSONAL BUDGET'!C58:N58</xm:f>
              <xm:sqref>P58</xm:sqref>
            </x14:sparkline>
            <x14:sparkline>
              <xm:f>'PERSONAL BUDGET'!C59:N59</xm:f>
              <xm:sqref>P59</xm:sqref>
            </x14:sparkline>
            <x14:sparkline>
              <xm:f>'PERSONAL BUDGET'!C60:N60</xm:f>
              <xm:sqref>P60</xm:sqref>
            </x14:sparkline>
            <x14:sparkline>
              <xm:f>'PERSONAL BUDGET'!C61:N61</xm:f>
              <xm:sqref>P61</xm:sqref>
            </x14:sparkline>
            <x14:sparkline>
              <xm:f>'PERSONAL BUDGET'!C62:N62</xm:f>
              <xm:sqref>P62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BUDGET'!C65:N65</xm:f>
              <xm:sqref>P65</xm:sqref>
            </x14:sparkline>
            <x14:sparkline>
              <xm:f>'PERSONAL BUDGET'!C66:N66</xm:f>
              <xm:sqref>P66</xm:sqref>
            </x14:sparkline>
            <x14:sparkline>
              <xm:f>'PERSONAL BUDGET'!C67:N67</xm:f>
              <xm:sqref>P67</xm:sqref>
            </x14:sparkline>
            <x14:sparkline>
              <xm:f>'PERSONAL BUDGET'!C68:N68</xm:f>
              <xm:sqref>P68</xm:sqref>
            </x14:sparkline>
            <x14:sparkline>
              <xm:f>'PERSONAL BUDGET'!C69:N69</xm:f>
              <xm:sqref>P69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BUDGET'!C72:N72</xm:f>
              <xm:sqref>P72</xm:sqref>
            </x14:sparkline>
            <x14:sparkline>
              <xm:f>'PERSONAL BUDGET'!C73:N73</xm:f>
              <xm:sqref>P73</xm:sqref>
            </x14:sparkline>
            <x14:sparkline>
              <xm:f>'PERSONAL BUDGET'!C74:N74</xm:f>
              <xm:sqref>P74</xm:sqref>
            </x14:sparkline>
            <x14:sparkline>
              <xm:f>'PERSONAL BUDGET'!C75:N75</xm:f>
              <xm:sqref>P75</xm:sqref>
            </x14:sparkline>
            <x14:sparkline>
              <xm:f>'PERSONAL BUDGET'!C76:N76</xm:f>
              <xm:sqref>P76</xm:sqref>
            </x14:sparkline>
            <x14:sparkline>
              <xm:f>'PERSONAL BUDGET'!C77:N77</xm:f>
              <xm:sqref>P77</xm:sqref>
            </x14:sparkline>
            <x14:sparkline>
              <xm:f>'PERSONAL BUDGET'!C78:N78</xm:f>
              <xm:sqref>P78</xm:sqref>
            </x14:sparkline>
            <x14:sparkline>
              <xm:f>'PERSONAL BUDGET'!C79:N79</xm:f>
              <xm:sqref>P79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BUDGET'!C82:N82</xm:f>
              <xm:sqref>P82</xm:sqref>
            </x14:sparkline>
            <x14:sparkline>
              <xm:f>'PERSONAL BUDGET'!C83:N83</xm:f>
              <xm:sqref>P83</xm:sqref>
            </x14:sparkline>
            <x14:sparkline>
              <xm:f>'PERSONAL BUDGET'!C84:N84</xm:f>
              <xm:sqref>P84</xm:sqref>
            </x14:sparkline>
            <x14:sparkline>
              <xm:f>'PERSONAL BUDGET'!C85:N85</xm:f>
              <xm:sqref>P85</xm:sqref>
            </x14:sparkline>
            <x14:sparkline>
              <xm:f>'PERSONAL BUDGET'!C86:N86</xm:f>
              <xm:sqref>P86</xm:sqref>
            </x14:sparkline>
            <x14:sparkline>
              <xm:f>'PERSONAL BUDGET'!C87:N87</xm:f>
              <xm:sqref>P87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BUDGET'!C90:N90</xm:f>
              <xm:sqref>P90</xm:sqref>
            </x14:sparkline>
            <x14:sparkline>
              <xm:f>'PERSONAL BUDGET'!C91:N91</xm:f>
              <xm:sqref>P91</xm:sqref>
            </x14:sparkline>
            <x14:sparkline>
              <xm:f>'PERSONAL BUDGET'!C92:N92</xm:f>
              <xm:sqref>P92</xm:sqref>
            </x14:sparkline>
            <x14:sparkline>
              <xm:f>'PERSONAL BUDGET'!C93:N93</xm:f>
              <xm:sqref>P93</xm:sqref>
            </x14:sparkline>
            <x14:sparkline>
              <xm:f>'PERSONAL BUDGET'!C94:N94</xm:f>
              <xm:sqref>P94</xm:sqref>
            </x14:sparkline>
            <x14:sparkline>
              <xm:f>'PERSONAL BUDGET'!C95:N95</xm:f>
              <xm:sqref>P95</xm:sqref>
            </x14:sparkline>
          </x14:sparklines>
        </x14:sparklineGroup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BUDGET'!C98:N98</xm:f>
              <xm:sqref>P98</xm:sqref>
            </x14:sparkline>
            <x14:sparkline>
              <xm:f>'PERSONAL BUDGET'!C99:N99</xm:f>
              <xm:sqref>P99</xm:sqref>
            </x14:sparkline>
            <x14:sparkline>
              <xm:f>'PERSONAL BUDGET'!C100:N100</xm:f>
              <xm:sqref>P100</xm:sqref>
            </x14:sparkline>
            <x14:sparkline>
              <xm:f>'PERSONAL BUDGET'!C101:N101</xm:f>
              <xm:sqref>P101</xm:sqref>
            </x14:sparkline>
            <x14:sparkline>
              <xm:f>'PERSONAL BUDGET'!C102:N102</xm:f>
              <xm:sqref>P102</xm:sqref>
            </x14:sparkline>
            <x14:sparkline>
              <xm:f>'PERSONAL BUDGET'!C103:N103</xm:f>
              <xm:sqref>P103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GLOBAL</dc:creator>
  <cp:lastModifiedBy>Tayyba Mirza</cp:lastModifiedBy>
  <cp:lastPrinted>2022-11-24T08:00:42Z</cp:lastPrinted>
  <dcterms:created xsi:type="dcterms:W3CDTF">2018-06-21T11:23:21Z</dcterms:created>
  <dcterms:modified xsi:type="dcterms:W3CDTF">2022-11-24T08:00:48Z</dcterms:modified>
</cp:coreProperties>
</file>