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ell\Desktop\Weekly Planner\"/>
    </mc:Choice>
  </mc:AlternateContent>
  <xr:revisionPtr revIDLastSave="0" documentId="13_ncr:1_{A1C01CC9-C671-4FFC-8BF0-0729F01AB354}" xr6:coauthVersionLast="47" xr6:coauthVersionMax="47" xr10:uidLastSave="{00000000-0000-0000-0000-000000000000}"/>
  <bookViews>
    <workbookView xWindow="-120" yWindow="-120" windowWidth="20730" windowHeight="11160" tabRatio="686" xr2:uid="{00000000-000D-0000-FFFF-FFFF00000000}"/>
  </bookViews>
  <sheets>
    <sheet name="January" sheetId="4" r:id="rId1"/>
    <sheet name="February" sheetId="5" r:id="rId2"/>
    <sheet name="March" sheetId="17" r:id="rId3"/>
    <sheet name="April" sheetId="18" r:id="rId4"/>
    <sheet name="May" sheetId="19" r:id="rId5"/>
    <sheet name="June" sheetId="20" r:id="rId6"/>
    <sheet name="July" sheetId="21" r:id="rId7"/>
    <sheet name="August" sheetId="22" r:id="rId8"/>
    <sheet name="September" sheetId="23" r:id="rId9"/>
    <sheet name="October" sheetId="24" r:id="rId10"/>
    <sheet name="November" sheetId="25" r:id="rId11"/>
    <sheet name="December" sheetId="15" r:id="rId12"/>
    <sheet name="Employee Names" sheetId="16" r:id="rId13"/>
  </sheets>
  <definedNames>
    <definedName name="CalendarYear">January!$AH$4</definedName>
    <definedName name="ColumnTitle13">EmployeeName[[#Headers],[Employee Names]]</definedName>
    <definedName name="Employee_Absence_Title">January!$B$1</definedName>
    <definedName name="Key_name">January!$B$2</definedName>
    <definedName name="KeyCustom1">January!$N$2</definedName>
    <definedName name="KeyCustom1Label">January!$O$2</definedName>
    <definedName name="KeyCustom2">January!$R$2</definedName>
    <definedName name="KeyCustom2Label">January!$S$2</definedName>
    <definedName name="KeyPersonal">January!$G$2</definedName>
    <definedName name="KeyPersonalLabel">January!$H$2</definedName>
    <definedName name="KeySick">January!$K$2</definedName>
    <definedName name="KeySickLabel">January!$L$2</definedName>
    <definedName name="KeyVacation">January!$C$2</definedName>
    <definedName name="KeyVacationLabel">January!$D$2</definedName>
    <definedName name="MonthName" localSheetId="3">April!$B$4</definedName>
    <definedName name="MonthName" localSheetId="7">August!$B$4</definedName>
    <definedName name="MonthName" localSheetId="11">December!$B$4</definedName>
    <definedName name="MonthName" localSheetId="1">February!$B$4</definedName>
    <definedName name="MonthName" localSheetId="0">January!$B$4</definedName>
    <definedName name="MonthName" localSheetId="6">July!$B$4</definedName>
    <definedName name="MonthName" localSheetId="5">June!$B$4</definedName>
    <definedName name="MonthName" localSheetId="2">March!$B$4</definedName>
    <definedName name="MonthName" localSheetId="4">May!$B$4</definedName>
    <definedName name="MonthName" localSheetId="10">November!$B$4</definedName>
    <definedName name="MonthName" localSheetId="9">October!$B$4</definedName>
    <definedName name="MonthName" localSheetId="8">September!$B$4</definedName>
    <definedName name="_xlnm.Print_Titles" localSheetId="3">April!$4:$6</definedName>
    <definedName name="_xlnm.Print_Titles" localSheetId="7">August!$4:$6</definedName>
    <definedName name="_xlnm.Print_Titles" localSheetId="11">December!$4:$6</definedName>
    <definedName name="_xlnm.Print_Titles" localSheetId="1">February!$4:$6</definedName>
    <definedName name="_xlnm.Print_Titles" localSheetId="0">January!$4:$6</definedName>
    <definedName name="_xlnm.Print_Titles" localSheetId="6">July!$4:$6</definedName>
    <definedName name="_xlnm.Print_Titles" localSheetId="5">June!$4:$6</definedName>
    <definedName name="_xlnm.Print_Titles" localSheetId="2">March!$4:$6</definedName>
    <definedName name="_xlnm.Print_Titles" localSheetId="4">May!$4:$6</definedName>
    <definedName name="_xlnm.Print_Titles" localSheetId="10">November!$4:$6</definedName>
    <definedName name="_xlnm.Print_Titles" localSheetId="9">October!$4:$6</definedName>
    <definedName name="_xlnm.Print_Titles" localSheetId="8">September!$4:$6</definedName>
    <definedName name="Title1">January[[#Headers],[Employee Name]]</definedName>
    <definedName name="Title10">October[[#Headers],[Employee Name]]</definedName>
    <definedName name="Title11">November[[#Headers],[Employee Name]]</definedName>
    <definedName name="Title12">December[[#Headers],[Employee Name]]</definedName>
    <definedName name="Title2">February[[#Headers],[Employee Name]]</definedName>
    <definedName name="Title3">March[[#Headers],[Employee Name]]</definedName>
    <definedName name="Title4">April[[#Headers],[Employee Name]]</definedName>
    <definedName name="Title5">May[[#Headers],[Employee Name]]</definedName>
    <definedName name="Title6">June[[#Headers],[Employee Name]]</definedName>
    <definedName name="Title7">July[[#Headers],[Employee Name]]</definedName>
    <definedName name="Title8">August[[#Headers],[Employee Name]]</definedName>
    <definedName name="Title9">September[[#Headers],[Employee Name]]</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9" i="4" l="1"/>
  <c r="AH10" i="4"/>
  <c r="B12" i="23" l="1"/>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11" i="20"/>
  <c r="AH10" i="20"/>
  <c r="AH9" i="20"/>
  <c r="AH8" i="20"/>
  <c r="AH7"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4" i="17"/>
  <c r="B1" i="17"/>
  <c r="B1" i="15"/>
  <c r="B1" i="5"/>
  <c r="AH12" i="17" l="1"/>
  <c r="AH12" i="18"/>
  <c r="AH12" i="21"/>
  <c r="AH12" i="23"/>
  <c r="AH12" i="22"/>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B12" i="15" l="1"/>
  <c r="B12" i="5"/>
  <c r="B12" i="4"/>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7" i="4"/>
  <c r="AH8" i="4"/>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<sst xmlns="http://schemas.openxmlformats.org/spreadsheetml/2006/main" count="643" uniqueCount="65">
  <si>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</si>
  <si>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</si>
  <si>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</si>
  <si>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</si>
  <si>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</si>
  <si>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</si>
  <si>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</si>
  <si>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</si>
  <si>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</si>
  <si>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</si>
  <si>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</si>
  <si>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</si>
  <si>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</si>
  <si>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</si>
  <si>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</si>
  <si>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</si>
  <si>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</si>
  <si>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</si>
  <si>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</si>
  <si>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</si>
  <si>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</si>
  <si>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</si>
  <si>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</si>
  <si>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</si>
  <si>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</si>
  <si>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</si>
  <si>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</si>
  <si>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</si>
  <si>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</si>
  <si>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</si>
  <si>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</si>
  <si>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</si>
  <si>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</si>
  <si>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</si>
  <si>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</si>
  <si>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</si>
  <si>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</si>
  <si>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</si>
  <si>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</si>
  <si>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</si>
  <si>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</si>
  <si>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</si>
  <si>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</si>
  <si>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</si>
  <si>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</si>
  <si>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</si>
  <si>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</si>
  <si>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February</t>
  </si>
  <si>
    <t>Employee 3</t>
  </si>
  <si>
    <t>Employee 4</t>
  </si>
  <si>
    <t>Employee 5</t>
  </si>
  <si>
    <t>March</t>
  </si>
  <si>
    <t>April</t>
  </si>
  <si>
    <t>May</t>
  </si>
  <si>
    <t>June</t>
  </si>
  <si>
    <t>July</t>
  </si>
  <si>
    <t>August</t>
  </si>
  <si>
    <t>September</t>
  </si>
  <si>
    <t>October</t>
  </si>
  <si>
    <t>November</t>
  </si>
  <si>
    <t>December</t>
  </si>
  <si>
    <t>Enter year:</t>
  </si>
  <si>
    <t>Absence Type Key</t>
  </si>
  <si>
    <t>Employee Names</t>
  </si>
  <si>
    <r>
      <t xml:space="preserve">                                      </t>
    </r>
    <r>
      <rPr>
        <b/>
        <sz val="20"/>
        <rFont val="Lato"/>
        <family val="2"/>
      </rPr>
      <t xml:space="preserve">  Employee Absence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</si>
</sst>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b/>
      <sz val="20"/>
      <name val="Lato"/>
      <family val="2"/>
    </font>
    <font>
      <b/>
      <sz val="12"/>
      <name val="Lato"/>
      <family val="2"/>
    </font>
    <font>
      <sz val="12"/>
      <name val="Lato"/>
      <family val="2"/>
    </font>
  </fonts>
  <fills count="23">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52">
    <xf numFmtId="0" fontId="0" fillId="0" borderId="0" xfId="0">
      <alignment horizontal="left" vertical="center"/>
    </xf>
    <xf numFmtId="0" fontId="1" fillId="0" borderId="0" xfId="26">
      <alignment horizontal="left" vertical="center" wrapText="1" indent="2"/>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Font="1" applyAlignment="1" applyProtection="1">
      <alignment horizontal="center" vertical="center"/>
    </xf>
    <xf numFmtId="164" fontId="2" fillId="9" borderId="0" xfId="8" applyNumberFormat="1" applyFont="1" applyAlignment="1" applyProtection="1">
      <alignment horizontal="center" vertical="center"/>
    </xf>
    <xf numFmtId="164" fontId="2" fillId="14" borderId="0" xfId="24" applyNumberFormat="1" applyFont="1" applyAlignment="1" applyProtection="1">
      <alignment horizontal="center" vertical="center"/>
    </xf>
    <xf numFmtId="1" fontId="1" fillId="0" borderId="0" xfId="25" applyFill="1" applyBorder="1" applyProtection="1">
      <alignment horizontal="center" vertical="center"/>
    </xf>
    <xf numFmtId="0" fontId="0" fillId="0" borderId="0" xfId="0" applyProtection="1">
      <alignment horizontal="left" vertical="center"/>
    </xf>
    <xf numFmtId="0" fontId="6"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7"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1" fillId="0" borderId="0" xfId="26" applyFill="1" applyBorder="1" applyProtection="1">
      <alignment horizontal="left" vertical="center" wrapText="1" indent="2"/>
    </xf>
    <xf numFmtId="0" fontId="0" fillId="0" borderId="0" xfId="0" applyAlignment="1" applyProtection="1">
      <alignment horizontal="left" vertical="center" wrapText="1"/>
    </xf>
    <xf numFmtId="0" fontId="2" fillId="20" borderId="0" xfId="4" applyProtection="1">
      <alignment horizontal="right" vertical="center" indent="1"/>
    </xf>
    <xf numFmtId="0" fontId="0" fillId="0" borderId="0" xfId="0" applyFont="1" applyFill="1" applyBorder="1" applyAlignment="1" applyProtection="1">
      <alignment horizontal="left" vertical="center" indent="1"/>
    </xf>
    <xf numFmtId="0" fontId="7" fillId="0" borderId="0" xfId="1">
      <alignment vertical="top"/>
    </xf>
    <xf numFmtId="0" fontId="7" fillId="0" borderId="0" xfId="1" applyAlignment="1" applyProtection="1">
      <alignment horizontal="left" vertical="top"/>
    </xf>
    <xf numFmtId="0" fontId="0" fillId="0" borderId="0" xfId="0" applyAlignment="1" applyProtection="1">
      <alignment horizontal="left" vertical="center"/>
    </xf>
    <xf numFmtId="0" fontId="11" fillId="0" borderId="0" xfId="0" applyFont="1" applyProtection="1">
      <alignment horizontal="left" vertical="center"/>
    </xf>
    <xf numFmtId="0" fontId="11" fillId="0" borderId="0" xfId="0" applyFont="1">
      <alignment horizontal="left" vertical="center"/>
    </xf>
    <xf numFmtId="0" fontId="11" fillId="0" borderId="0" xfId="27" applyFont="1" applyProtection="1">
      <alignment horizontal="center"/>
    </xf>
    <xf numFmtId="0" fontId="11" fillId="0" borderId="0" xfId="0" applyFont="1" applyAlignment="1" applyProtection="1">
      <alignment horizontal="center" vertical="center"/>
    </xf>
    <xf numFmtId="0" fontId="10" fillId="0" borderId="1" xfId="3" applyFont="1" applyFill="1" applyBorder="1" applyProtection="1">
      <alignment horizontal="center" vertical="center"/>
    </xf>
    <xf numFmtId="0" fontId="11" fillId="0" borderId="1" xfId="0" applyFont="1" applyBorder="1" applyAlignment="1" applyProtection="1">
      <alignment horizontal="center" vertical="center"/>
    </xf>
    <xf numFmtId="0" fontId="11" fillId="21" borderId="2" xfId="21" applyFont="1" applyFill="1" applyBorder="1" applyAlignment="1" applyProtection="1">
      <alignment horizontal="left" vertical="center" indent="1"/>
    </xf>
    <xf numFmtId="0" fontId="11" fillId="21" borderId="3" xfId="0" applyFont="1" applyFill="1" applyBorder="1" applyAlignment="1" applyProtection="1">
      <alignment horizontal="center" vertical="center"/>
    </xf>
    <xf numFmtId="0" fontId="11" fillId="21" borderId="4" xfId="21" applyFont="1" applyFill="1" applyBorder="1" applyAlignment="1" applyProtection="1">
      <alignment horizontal="center" vertical="center"/>
    </xf>
    <xf numFmtId="0" fontId="11" fillId="21" borderId="5" xfId="26" applyFont="1" applyFill="1" applyBorder="1">
      <alignment horizontal="left" vertical="center" wrapText="1" indent="2"/>
    </xf>
    <xf numFmtId="0" fontId="11" fillId="21" borderId="1" xfId="0" applyFont="1" applyFill="1" applyBorder="1" applyAlignment="1" applyProtection="1">
      <alignment horizontal="center" vertical="center"/>
    </xf>
    <xf numFmtId="1" fontId="11" fillId="21" borderId="6" xfId="25" applyFont="1" applyFill="1" applyBorder="1" applyProtection="1">
      <alignment horizontal="center" vertical="center"/>
    </xf>
    <xf numFmtId="0" fontId="11" fillId="21" borderId="7" xfId="0" applyFont="1" applyFill="1" applyBorder="1" applyAlignment="1" applyProtection="1">
      <alignment horizontal="left" vertical="center" indent="1"/>
    </xf>
    <xf numFmtId="164" fontId="11" fillId="21" borderId="8" xfId="0" applyNumberFormat="1" applyFont="1" applyFill="1" applyBorder="1" applyAlignment="1" applyProtection="1">
      <alignment horizontal="center" vertical="center"/>
    </xf>
    <xf numFmtId="164" fontId="11" fillId="21" borderId="9" xfId="0" applyNumberFormat="1" applyFont="1" applyFill="1" applyBorder="1" applyAlignment="1" applyProtection="1">
      <alignment horizontal="center" vertical="center"/>
    </xf>
    <xf numFmtId="0" fontId="11" fillId="21" borderId="1" xfId="0" applyFont="1" applyFill="1" applyBorder="1" applyProtection="1">
      <alignment horizontal="left" vertical="center"/>
    </xf>
    <xf numFmtId="0" fontId="0" fillId="21" borderId="1" xfId="0" applyFill="1" applyBorder="1" applyProtection="1">
      <alignment horizontal="left" vertical="center"/>
    </xf>
    <xf numFmtId="0" fontId="10" fillId="21" borderId="1" xfId="4" applyFont="1" applyFill="1" applyBorder="1" applyAlignment="1" applyProtection="1">
      <alignment horizontal="center" vertical="center"/>
    </xf>
    <xf numFmtId="0" fontId="10" fillId="21" borderId="1" xfId="12" applyFont="1" applyFill="1" applyBorder="1" applyAlignment="1" applyProtection="1">
      <alignment horizontal="center" vertical="center"/>
    </xf>
    <xf numFmtId="0" fontId="10" fillId="21" borderId="1" xfId="19" applyFont="1" applyFill="1" applyBorder="1" applyAlignment="1" applyProtection="1">
      <alignment horizontal="center" vertical="center"/>
    </xf>
    <xf numFmtId="0" fontId="10" fillId="21" borderId="1" xfId="23" applyFont="1" applyFill="1" applyBorder="1" applyAlignment="1" applyProtection="1">
      <alignment horizontal="center" vertical="center"/>
    </xf>
    <xf numFmtId="164" fontId="10" fillId="21" borderId="1" xfId="8" applyNumberFormat="1" applyFont="1" applyFill="1" applyBorder="1" applyAlignment="1" applyProtection="1">
      <alignment horizontal="center" vertical="center"/>
    </xf>
    <xf numFmtId="164" fontId="10" fillId="21" borderId="1" xfId="24" applyNumberFormat="1" applyFont="1" applyFill="1" applyBorder="1" applyAlignment="1" applyProtection="1">
      <alignment horizontal="center" vertical="center"/>
    </xf>
    <xf numFmtId="0" fontId="11" fillId="21" borderId="0" xfId="0" applyFont="1" applyFill="1" applyProtection="1">
      <alignment horizontal="left" vertical="center"/>
    </xf>
    <xf numFmtId="0" fontId="11" fillId="21" borderId="1" xfId="21" applyFont="1" applyFill="1" applyBorder="1" applyAlignment="1" applyProtection="1">
      <alignment horizontal="center" vertical="center"/>
    </xf>
    <xf numFmtId="0" fontId="6" fillId="2" borderId="0" xfId="3" applyProtection="1">
      <alignment horizontal="center" vertical="center"/>
    </xf>
    <xf numFmtId="0" fontId="1" fillId="2" borderId="0" xfId="21" applyAlignment="1" applyProtection="1">
      <alignment horizontal="left" vertical="center"/>
    </xf>
    <xf numFmtId="0" fontId="10" fillId="22" borderId="1" xfId="3" applyFont="1" applyFill="1" applyBorder="1" applyProtection="1">
      <alignment horizontal="center" vertical="center"/>
    </xf>
    <xf numFmtId="0" fontId="10" fillId="22" borderId="1" xfId="3" applyFont="1" applyFill="1" applyBorder="1" applyProtection="1">
      <alignment horizontal="center" vertical="center"/>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xr:uid="{00000000-0005-0000-0000-000013000000}"/>
    <cellStyle name="Heading 1" xfId="2" builtinId="16" customBuiltin="1"/>
    <cellStyle name="Heading 2" xfId="3" builtinId="17" customBuiltin="1"/>
    <cellStyle name="Heading 3" xfId="4" builtinId="18" customBuiltin="1"/>
    <cellStyle name="Heading 4" xfId="5" builtinId="19" customBuiltin="1"/>
    <cellStyle name="Label" xfId="27" xr:uid="{00000000-0005-0000-0000-000018000000}"/>
    <cellStyle name="Normal" xfId="0" builtinId="0" customBuiltin="1"/>
    <cellStyle name="Title" xfId="1" builtinId="15" customBuiltin="1"/>
    <cellStyle name="Total" xfId="25" builtinId="25" customBuiltin="1"/>
  </cellStyles>
  <dxfs count="906">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Lato"/>
        <family val="2"/>
        <scheme val="none"/>
      </font>
      <fill>
        <patternFill patternType="solid">
          <fgColor indexed="64"/>
          <bgColor theme="0"/>
        </patternFill>
      </fill>
      <alignment horizontal="left" vertical="center" textRotation="0" wrapText="0" indent="1" justifyLastLine="0" shrinkToFit="0" readingOrder="0"/>
      <border diagonalUp="0" diagonalDown="0" outline="0">
        <left/>
        <right style="thin">
          <color indexed="64"/>
        </right>
        <top/>
        <bottom/>
      </border>
      <protection locked="1" hidden="0"/>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Lato"/>
        <family val="2"/>
        <scheme val="none"/>
      </font>
      <fill>
        <patternFill patternType="solid">
          <fgColor indexed="64"/>
          <bgColor theme="0"/>
        </patternFill>
      </fill>
      <protection locked="1" hidden="0"/>
    </dxf>
    <dxf>
      <border>
        <bottom style="thin">
          <color indexed="64"/>
        </bottom>
      </border>
    </dxf>
    <dxf>
      <font>
        <strike val="0"/>
        <outline val="0"/>
        <shadow val="0"/>
        <u val="none"/>
        <vertAlign val="baseline"/>
        <sz val="12"/>
        <color auto="1"/>
        <name val="Lato"/>
        <family val="2"/>
        <scheme val="none"/>
      </font>
      <fill>
        <patternFill patternType="solid">
          <fgColor indexed="64"/>
          <bgColor theme="0"/>
        </patternFill>
      </fill>
      <border diagonalUp="0" diagonalDown="0" outline="0">
        <left style="thin">
          <color indexed="64"/>
        </left>
        <right style="thin">
          <color indexed="64"/>
        </right>
        <top/>
        <bottom/>
      </border>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xr9:uid="{00000000-0011-0000-FFFF-FFFF00000000}">
      <tableStyleElement type="wholeTable" dxfId="905"/>
      <tableStyleElement type="headerRow" dxfId="904"/>
      <tableStyleElement type="totalRow" dxfId="903"/>
      <tableStyleElement type="firstColumn" dxfId="902"/>
      <tableStyleElement type="lastColumn" dxfId="901"/>
      <tableStyleElement type="firstRowStripe" dxfId="900"/>
      <tableStyleElement type="secondRowStripe" dxfId="899"/>
      <tableStyleElement type="firstColumnStripe" dxfId="898"/>
      <tableStyleElement type="secondColumnStripe" dxfId="897"/>
      <tableStyleElement type="firstHeaderCell" dxfId="896"/>
      <tableStyleElement type="lastHeaderCell" dxfId="895"/>
      <tableStyleElement type="firstTotalCell" dxfId="894"/>
      <tableStyleElement type="lastTotalCell" dxfId="89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January" displayName="January" ref="B6:AH12" totalsRowCount="1" headerRowDxfId="887" dataDxfId="885" totalsRowDxfId="883" headerRowBorderDxfId="886" tableBorderDxfId="884" totalsRowBorderDxfId="882">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Employee Name" totalsRowFunction="custom" dataDxfId="881" totalsRowDxfId="880" dataCellStyle="Employee">
      <totalsRowFormula>MonthName&amp;" Total"</totalsRowFormula>
    </tableColumn>
    <tableColumn id="2" xr3:uid="{00000000-0010-0000-0000-000002000000}" name="1" totalsRowFunction="custom" dataDxfId="879" totalsRowDxfId="878" dataCellStyle="Total">
      <totalsRowFormula>SUBTOTAL(103,January!$C$7:$C$11)</totalsRowFormula>
    </tableColumn>
    <tableColumn id="3" xr3:uid="{00000000-0010-0000-0000-000003000000}" name="2" totalsRowFunction="custom" dataDxfId="877" totalsRowDxfId="876" dataCellStyle="Total">
      <totalsRowFormula>SUBTOTAL(103,January!$D$7:$D$11)</totalsRowFormula>
    </tableColumn>
    <tableColumn id="4" xr3:uid="{00000000-0010-0000-0000-000004000000}" name="3" totalsRowFunction="custom" dataDxfId="875" totalsRowDxfId="874" dataCellStyle="Total">
      <totalsRowFormula>SUBTOTAL(103,January!$E$7:$E$11)</totalsRowFormula>
    </tableColumn>
    <tableColumn id="5" xr3:uid="{00000000-0010-0000-0000-000005000000}" name="4" totalsRowFunction="custom" dataDxfId="873" totalsRowDxfId="872" dataCellStyle="Total">
      <totalsRowFormula>SUBTOTAL(103,January!$F$7:$F$11)</totalsRowFormula>
    </tableColumn>
    <tableColumn id="6" xr3:uid="{00000000-0010-0000-0000-000006000000}" name="5" totalsRowFunction="custom" dataDxfId="871" totalsRowDxfId="870" dataCellStyle="Total">
      <totalsRowFormula>SUBTOTAL(103,January!$G$7:$G$11)</totalsRowFormula>
    </tableColumn>
    <tableColumn id="7" xr3:uid="{00000000-0010-0000-0000-000007000000}" name="6" totalsRowFunction="custom" dataDxfId="869" totalsRowDxfId="868" dataCellStyle="Total">
      <totalsRowFormula>SUBTOTAL(103,January!$H$7:$H$11)</totalsRowFormula>
    </tableColumn>
    <tableColumn id="8" xr3:uid="{00000000-0010-0000-0000-000008000000}" name="7" totalsRowFunction="custom" dataDxfId="867" totalsRowDxfId="866" dataCellStyle="Total">
      <totalsRowFormula>SUBTOTAL(103,January!$I$7:$I$11)</totalsRowFormula>
    </tableColumn>
    <tableColumn id="9" xr3:uid="{00000000-0010-0000-0000-000009000000}" name="8" totalsRowFunction="custom" dataDxfId="865" totalsRowDxfId="864" dataCellStyle="Total">
      <totalsRowFormula>SUBTOTAL(103,January!$J$7:$J$11)</totalsRowFormula>
    </tableColumn>
    <tableColumn id="10" xr3:uid="{00000000-0010-0000-0000-00000A000000}" name="9" totalsRowFunction="custom" dataDxfId="863" totalsRowDxfId="862" dataCellStyle="Total">
      <totalsRowFormula>SUBTOTAL(103,January!$K$7:$K$11)</totalsRowFormula>
    </tableColumn>
    <tableColumn id="11" xr3:uid="{00000000-0010-0000-0000-00000B000000}" name="10" totalsRowFunction="custom" dataDxfId="861" totalsRowDxfId="860" dataCellStyle="Total">
      <totalsRowFormula>SUBTOTAL(103,January!$L$7:$L$11)</totalsRowFormula>
    </tableColumn>
    <tableColumn id="12" xr3:uid="{00000000-0010-0000-0000-00000C000000}" name="11" totalsRowFunction="custom" dataDxfId="859" totalsRowDxfId="858" dataCellStyle="Total">
      <totalsRowFormula>SUBTOTAL(103,January!$M$7:$M$11)</totalsRowFormula>
    </tableColumn>
    <tableColumn id="13" xr3:uid="{00000000-0010-0000-0000-00000D000000}" name="12" totalsRowFunction="custom" dataDxfId="857" totalsRowDxfId="856" dataCellStyle="Total">
      <totalsRowFormula>SUBTOTAL(103,January!$N$7:$N$11)</totalsRowFormula>
    </tableColumn>
    <tableColumn id="14" xr3:uid="{00000000-0010-0000-0000-00000E000000}" name="13" totalsRowFunction="custom" dataDxfId="855" totalsRowDxfId="854" dataCellStyle="Total">
      <totalsRowFormula>SUBTOTAL(103,January!$O$7:$O$11)</totalsRowFormula>
    </tableColumn>
    <tableColumn id="15" xr3:uid="{00000000-0010-0000-0000-00000F000000}" name="14" totalsRowFunction="custom" dataDxfId="853" totalsRowDxfId="852" dataCellStyle="Total">
      <totalsRowFormula>SUBTOTAL(103,January!$P$7:$P$11)</totalsRowFormula>
    </tableColumn>
    <tableColumn id="16" xr3:uid="{00000000-0010-0000-0000-000010000000}" name="15" totalsRowFunction="custom" dataDxfId="851" totalsRowDxfId="850" dataCellStyle="Total">
      <totalsRowFormula>SUBTOTAL(103,January!$Q$7:$Q$11)</totalsRowFormula>
    </tableColumn>
    <tableColumn id="17" xr3:uid="{00000000-0010-0000-0000-000011000000}" name="16" totalsRowFunction="custom" dataDxfId="849" totalsRowDxfId="848" dataCellStyle="Total">
      <totalsRowFormula>SUBTOTAL(103,January!$R$7:$R$11)</totalsRowFormula>
    </tableColumn>
    <tableColumn id="18" xr3:uid="{00000000-0010-0000-0000-000012000000}" name="17" totalsRowFunction="custom" dataDxfId="847" totalsRowDxfId="846" dataCellStyle="Total">
      <totalsRowFormula>SUBTOTAL(103,January!$S$7:$S$11)</totalsRowFormula>
    </tableColumn>
    <tableColumn id="19" xr3:uid="{00000000-0010-0000-0000-000013000000}" name="18" totalsRowFunction="custom" dataDxfId="845" totalsRowDxfId="844" dataCellStyle="Total">
      <totalsRowFormula>SUBTOTAL(103,January!$T$7:$T$11)</totalsRowFormula>
    </tableColumn>
    <tableColumn id="20" xr3:uid="{00000000-0010-0000-0000-000014000000}" name="19" totalsRowFunction="custom" dataDxfId="843" totalsRowDxfId="842" dataCellStyle="Total">
      <totalsRowFormula>SUBTOTAL(103,January!$U$7:$U$11)</totalsRowFormula>
    </tableColumn>
    <tableColumn id="21" xr3:uid="{00000000-0010-0000-0000-000015000000}" name="20" totalsRowFunction="custom" dataDxfId="841" totalsRowDxfId="840" dataCellStyle="Total">
      <totalsRowFormula>SUBTOTAL(103,January!$V$7:$V$11)</totalsRowFormula>
    </tableColumn>
    <tableColumn id="22" xr3:uid="{00000000-0010-0000-0000-000016000000}" name="21" totalsRowFunction="custom" dataDxfId="839" totalsRowDxfId="838" dataCellStyle="Total">
      <totalsRowFormula>SUBTOTAL(103,January!$W$7:$W$11)</totalsRowFormula>
    </tableColumn>
    <tableColumn id="23" xr3:uid="{00000000-0010-0000-0000-000017000000}" name="22" totalsRowFunction="custom" dataDxfId="837" totalsRowDxfId="836" dataCellStyle="Total">
      <totalsRowFormula>SUBTOTAL(103,January!$X$7:$X$11)</totalsRowFormula>
    </tableColumn>
    <tableColumn id="24" xr3:uid="{00000000-0010-0000-0000-000018000000}" name="23" totalsRowFunction="custom" dataDxfId="835" totalsRowDxfId="834" dataCellStyle="Total">
      <totalsRowFormula>SUBTOTAL(103,January!$Y$7:$Y$11)</totalsRowFormula>
    </tableColumn>
    <tableColumn id="25" xr3:uid="{00000000-0010-0000-0000-000019000000}" name="24" totalsRowFunction="custom" dataDxfId="833" totalsRowDxfId="832" dataCellStyle="Total">
      <totalsRowFormula>SUBTOTAL(103,January!$Z$7:$Z$11)</totalsRowFormula>
    </tableColumn>
    <tableColumn id="26" xr3:uid="{00000000-0010-0000-0000-00001A000000}" name="25" totalsRowFunction="custom" dataDxfId="831" totalsRowDxfId="830" dataCellStyle="Total">
      <totalsRowFormula>SUBTOTAL(103,January!$AA$7:$AA$11)</totalsRowFormula>
    </tableColumn>
    <tableColumn id="27" xr3:uid="{00000000-0010-0000-0000-00001B000000}" name="26" totalsRowFunction="custom" dataDxfId="829" totalsRowDxfId="828" dataCellStyle="Total">
      <totalsRowFormula>SUBTOTAL(103,January!$AB$7:$AB$11)</totalsRowFormula>
    </tableColumn>
    <tableColumn id="28" xr3:uid="{00000000-0010-0000-0000-00001C000000}" name="27" totalsRowFunction="custom" dataDxfId="827" totalsRowDxfId="826" dataCellStyle="Total">
      <totalsRowFormula>SUBTOTAL(103,January!$AC$7:$AC$11)</totalsRowFormula>
    </tableColumn>
    <tableColumn id="29" xr3:uid="{00000000-0010-0000-0000-00001D000000}" name="28" totalsRowFunction="custom" dataDxfId="825" totalsRowDxfId="824" dataCellStyle="Total">
      <totalsRowFormula>SUBTOTAL(103,January!$AD$7:$AD$11)</totalsRowFormula>
    </tableColumn>
    <tableColumn id="30" xr3:uid="{00000000-0010-0000-0000-00001E000000}" name="29" totalsRowFunction="custom" dataDxfId="823" totalsRowDxfId="822" dataCellStyle="Total">
      <totalsRowFormula>SUBTOTAL(103,January!$AE$7:$AE$11)</totalsRowFormula>
    </tableColumn>
    <tableColumn id="31" xr3:uid="{00000000-0010-0000-0000-00001F000000}" name="30" totalsRowFunction="custom" dataDxfId="821" totalsRowDxfId="820" dataCellStyle="Total">
      <totalsRowFormula>SUBTOTAL(103,January!$AF$7:$AF$11)</totalsRowFormula>
    </tableColumn>
    <tableColumn id="32" xr3:uid="{00000000-0010-0000-0000-000020000000}" name="31" totalsRowFunction="custom" dataDxfId="819" totalsRowDxfId="818" dataCellStyle="Total">
      <totalsRowFormula>SUBTOTAL(103,January!$AG$7:$AG$11)</totalsRowFormula>
    </tableColumn>
    <tableColumn id="33" xr3:uid="{00000000-0010-0000-0000-000021000000}" name="Total Days" totalsRowFunction="sum" dataDxfId="817" totalsRowDxfId="816" dataCellStyle="Total">
      <calculatedColumnFormula>COUNTA(January!$C7:$AG7)</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ober" displayName="October" ref="B6:AH12" totalsRowCount="1" headerRowDxfId="216" dataDxfId="215" totalsRowDxfId="214">
  <tableColumns count="33">
    <tableColumn id="1" xr3:uid="{00000000-0010-0000-0900-000001000000}" name="Employee Name" totalsRowFunction="custom" dataDxfId="213" totalsRowDxfId="212" dataCellStyle="Employee">
      <totalsRowFormula>MonthName&amp;" Total"</totalsRowFormula>
    </tableColumn>
    <tableColumn id="2" xr3:uid="{00000000-0010-0000-0900-000002000000}" name="1" totalsRowFunction="count" dataDxfId="211" totalsRowDxfId="210"/>
    <tableColumn id="3" xr3:uid="{00000000-0010-0000-0900-000003000000}" name="2" totalsRowFunction="count" dataDxfId="209" totalsRowDxfId="208"/>
    <tableColumn id="4" xr3:uid="{00000000-0010-0000-0900-000004000000}" name="3" totalsRowFunction="count" dataDxfId="207" totalsRowDxfId="206"/>
    <tableColumn id="5" xr3:uid="{00000000-0010-0000-0900-000005000000}" name="4" totalsRowFunction="count" dataDxfId="205" totalsRowDxfId="204"/>
    <tableColumn id="6" xr3:uid="{00000000-0010-0000-0900-000006000000}" name="5" totalsRowFunction="count" dataDxfId="203" totalsRowDxfId="202"/>
    <tableColumn id="7" xr3:uid="{00000000-0010-0000-0900-000007000000}" name="6" totalsRowFunction="count" dataDxfId="201" totalsRowDxfId="200"/>
    <tableColumn id="8" xr3:uid="{00000000-0010-0000-0900-000008000000}" name="7" totalsRowFunction="count" dataDxfId="199" totalsRowDxfId="198"/>
    <tableColumn id="9" xr3:uid="{00000000-0010-0000-0900-000009000000}" name="8" totalsRowFunction="count" dataDxfId="197" totalsRowDxfId="196"/>
    <tableColumn id="10" xr3:uid="{00000000-0010-0000-0900-00000A000000}" name="9" totalsRowFunction="count" dataDxfId="195" totalsRowDxfId="194"/>
    <tableColumn id="11" xr3:uid="{00000000-0010-0000-0900-00000B000000}" name="10" totalsRowFunction="count" dataDxfId="193" totalsRowDxfId="192"/>
    <tableColumn id="12" xr3:uid="{00000000-0010-0000-0900-00000C000000}" name="11" totalsRowFunction="count" dataDxfId="191" totalsRowDxfId="190"/>
    <tableColumn id="13" xr3:uid="{00000000-0010-0000-0900-00000D000000}" name="12" totalsRowFunction="count" dataDxfId="189" totalsRowDxfId="188"/>
    <tableColumn id="14" xr3:uid="{00000000-0010-0000-0900-00000E000000}" name="13" totalsRowFunction="count" dataDxfId="187" totalsRowDxfId="186"/>
    <tableColumn id="15" xr3:uid="{00000000-0010-0000-0900-00000F000000}" name="14" totalsRowFunction="count" dataDxfId="185" totalsRowDxfId="184"/>
    <tableColumn id="16" xr3:uid="{00000000-0010-0000-0900-000010000000}" name="15" totalsRowFunction="count" dataDxfId="183" totalsRowDxfId="182"/>
    <tableColumn id="17" xr3:uid="{00000000-0010-0000-0900-000011000000}" name="16" totalsRowFunction="count" dataDxfId="181" totalsRowDxfId="180"/>
    <tableColumn id="18" xr3:uid="{00000000-0010-0000-0900-000012000000}" name="17" totalsRowFunction="count" dataDxfId="179" totalsRowDxfId="178"/>
    <tableColumn id="19" xr3:uid="{00000000-0010-0000-0900-000013000000}" name="18" totalsRowFunction="count" dataDxfId="177" totalsRowDxfId="176"/>
    <tableColumn id="20" xr3:uid="{00000000-0010-0000-0900-000014000000}" name="19" totalsRowFunction="count" dataDxfId="175" totalsRowDxfId="174"/>
    <tableColumn id="21" xr3:uid="{00000000-0010-0000-0900-000015000000}" name="20" totalsRowFunction="count" dataDxfId="173" totalsRowDxfId="172"/>
    <tableColumn id="22" xr3:uid="{00000000-0010-0000-0900-000016000000}" name="21" totalsRowFunction="count" dataDxfId="171" totalsRowDxfId="170"/>
    <tableColumn id="23" xr3:uid="{00000000-0010-0000-0900-000017000000}" name="22" totalsRowFunction="count" dataDxfId="169" totalsRowDxfId="168"/>
    <tableColumn id="24" xr3:uid="{00000000-0010-0000-0900-000018000000}" name="23" totalsRowFunction="count" dataDxfId="167" totalsRowDxfId="166"/>
    <tableColumn id="25" xr3:uid="{00000000-0010-0000-0900-000019000000}" name="24" totalsRowFunction="count" dataDxfId="165" totalsRowDxfId="164"/>
    <tableColumn id="26" xr3:uid="{00000000-0010-0000-0900-00001A000000}" name="25" totalsRowFunction="count" dataDxfId="163" totalsRowDxfId="162"/>
    <tableColumn id="27" xr3:uid="{00000000-0010-0000-0900-00001B000000}" name="26" totalsRowFunction="count" dataDxfId="161" totalsRowDxfId="160"/>
    <tableColumn id="28" xr3:uid="{00000000-0010-0000-0900-00001C000000}" name="27" totalsRowFunction="count" dataDxfId="159" totalsRowDxfId="158"/>
    <tableColumn id="29" xr3:uid="{00000000-0010-0000-0900-00001D000000}" name="28" totalsRowFunction="count" dataDxfId="157" totalsRowDxfId="156"/>
    <tableColumn id="30" xr3:uid="{00000000-0010-0000-0900-00001E000000}" name="29" totalsRowFunction="count" dataDxfId="155" totalsRowDxfId="154"/>
    <tableColumn id="31" xr3:uid="{00000000-0010-0000-0900-00001F000000}" name="30" totalsRowFunction="sum" dataDxfId="153" totalsRowDxfId="152"/>
    <tableColumn id="32" xr3:uid="{00000000-0010-0000-0900-000020000000}" name="31" totalsRowFunction="sum" dataDxfId="151" totalsRowDxfId="150" dataCellStyle="Total"/>
    <tableColumn id="33" xr3:uid="{00000000-0010-0000-0900-000021000000}" name="Total Days" totalsRowFunction="sum" dataDxfId="149" totalsRowDxfId="148" dataCellStyle="Total">
      <calculatedColumnFormula>COUNTA(October[[#This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ember" displayName="November" ref="B6:AH12" totalsRowCount="1" headerRowDxfId="142" dataDxfId="141" totalsRowDxfId="140">
  <tableColumns count="33">
    <tableColumn id="1" xr3:uid="{00000000-0010-0000-0A00-000001000000}" name="Employee Name" totalsRowFunction="custom" dataDxfId="139" totalsRowDxfId="138" dataCellStyle="Employee">
      <totalsRowFormula>MonthName&amp;" Total"</totalsRowFormula>
    </tableColumn>
    <tableColumn id="2" xr3:uid="{00000000-0010-0000-0A00-000002000000}" name="1" totalsRowFunction="count" dataDxfId="137" totalsRowDxfId="136"/>
    <tableColumn id="3" xr3:uid="{00000000-0010-0000-0A00-000003000000}" name="2" totalsRowFunction="count" dataDxfId="135" totalsRowDxfId="134"/>
    <tableColumn id="4" xr3:uid="{00000000-0010-0000-0A00-000004000000}" name="3" totalsRowFunction="count" dataDxfId="133" totalsRowDxfId="132"/>
    <tableColumn id="5" xr3:uid="{00000000-0010-0000-0A00-000005000000}" name="4" totalsRowFunction="count" dataDxfId="131" totalsRowDxfId="130"/>
    <tableColumn id="6" xr3:uid="{00000000-0010-0000-0A00-000006000000}" name="5" totalsRowFunction="count" dataDxfId="129" totalsRowDxfId="128"/>
    <tableColumn id="7" xr3:uid="{00000000-0010-0000-0A00-000007000000}" name="6" totalsRowFunction="count" dataDxfId="127" totalsRowDxfId="126"/>
    <tableColumn id="8" xr3:uid="{00000000-0010-0000-0A00-000008000000}" name="7" totalsRowFunction="count" dataDxfId="125" totalsRowDxfId="124"/>
    <tableColumn id="9" xr3:uid="{00000000-0010-0000-0A00-000009000000}" name="8" totalsRowFunction="count" dataDxfId="123" totalsRowDxfId="122"/>
    <tableColumn id="10" xr3:uid="{00000000-0010-0000-0A00-00000A000000}" name="9" totalsRowFunction="count" dataDxfId="121" totalsRowDxfId="120"/>
    <tableColumn id="11" xr3:uid="{00000000-0010-0000-0A00-00000B000000}" name="10" totalsRowFunction="count" dataDxfId="119" totalsRowDxfId="118"/>
    <tableColumn id="12" xr3:uid="{00000000-0010-0000-0A00-00000C000000}" name="11" totalsRowFunction="count" dataDxfId="117" totalsRowDxfId="116"/>
    <tableColumn id="13" xr3:uid="{00000000-0010-0000-0A00-00000D000000}" name="12" totalsRowFunction="count" dataDxfId="115" totalsRowDxfId="114"/>
    <tableColumn id="14" xr3:uid="{00000000-0010-0000-0A00-00000E000000}" name="13" totalsRowFunction="count" dataDxfId="113" totalsRowDxfId="112"/>
    <tableColumn id="15" xr3:uid="{00000000-0010-0000-0A00-00000F000000}" name="14" totalsRowFunction="count" dataDxfId="111" totalsRowDxfId="110"/>
    <tableColumn id="16" xr3:uid="{00000000-0010-0000-0A00-000010000000}" name="15" totalsRowFunction="count" dataDxfId="109" totalsRowDxfId="108"/>
    <tableColumn id="17" xr3:uid="{00000000-0010-0000-0A00-000011000000}" name="16" totalsRowFunction="count" dataDxfId="107" totalsRowDxfId="106"/>
    <tableColumn id="18" xr3:uid="{00000000-0010-0000-0A00-000012000000}" name="17" totalsRowFunction="count" dataDxfId="105" totalsRowDxfId="104"/>
    <tableColumn id="19" xr3:uid="{00000000-0010-0000-0A00-000013000000}" name="18" totalsRowFunction="count" dataDxfId="103" totalsRowDxfId="102"/>
    <tableColumn id="20" xr3:uid="{00000000-0010-0000-0A00-000014000000}" name="19" totalsRowFunction="count" dataDxfId="101" totalsRowDxfId="100"/>
    <tableColumn id="21" xr3:uid="{00000000-0010-0000-0A00-000015000000}" name="20" totalsRowFunction="count" dataDxfId="99" totalsRowDxfId="98"/>
    <tableColumn id="22" xr3:uid="{00000000-0010-0000-0A00-000016000000}" name="21" totalsRowFunction="count" dataDxfId="97" totalsRowDxfId="96"/>
    <tableColumn id="23" xr3:uid="{00000000-0010-0000-0A00-000017000000}" name="22" totalsRowFunction="count" dataDxfId="95" totalsRowDxfId="94"/>
    <tableColumn id="24" xr3:uid="{00000000-0010-0000-0A00-000018000000}" name="23" totalsRowFunction="count" dataDxfId="93" totalsRowDxfId="92"/>
    <tableColumn id="25" xr3:uid="{00000000-0010-0000-0A00-000019000000}" name="24" totalsRowFunction="count" dataDxfId="91" totalsRowDxfId="90"/>
    <tableColumn id="26" xr3:uid="{00000000-0010-0000-0A00-00001A000000}" name="25" totalsRowFunction="count" dataDxfId="89" totalsRowDxfId="88"/>
    <tableColumn id="27" xr3:uid="{00000000-0010-0000-0A00-00001B000000}" name="26" totalsRowFunction="count" dataDxfId="87" totalsRowDxfId="86"/>
    <tableColumn id="28" xr3:uid="{00000000-0010-0000-0A00-00001C000000}" name="27" totalsRowFunction="count" dataDxfId="85" totalsRowDxfId="84"/>
    <tableColumn id="29" xr3:uid="{00000000-0010-0000-0A00-00001D000000}" name="28" totalsRowFunction="count" dataDxfId="83" totalsRowDxfId="82"/>
    <tableColumn id="30" xr3:uid="{00000000-0010-0000-0A00-00001E000000}" name="29" totalsRowFunction="count" dataDxfId="81" totalsRowDxfId="80"/>
    <tableColumn id="31" xr3:uid="{00000000-0010-0000-0A00-00001F000000}" name="30" totalsRowFunction="sum" dataDxfId="79" totalsRowDxfId="78"/>
    <tableColumn id="32" xr3:uid="{00000000-0010-0000-0A00-000020000000}" name="31" totalsRowFunction="sum" dataDxfId="77" totalsRowDxfId="76" dataCellStyle="Total"/>
    <tableColumn id="33" xr3:uid="{00000000-0010-0000-0A00-000021000000}" name="Total Days" totalsRowFunction="sum" dataDxfId="75" totalsRowDxfId="74" dataCellStyle="Total">
      <calculatedColumnFormula>COUNTA(November[[#This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cember" displayName="December" ref="B6:AH12" totalsRowCount="1" headerRowDxfId="68" dataDxfId="67" totalsRowDxfId="66">
  <tableColumns count="33">
    <tableColumn id="1" xr3:uid="{00000000-0010-0000-0B00-000001000000}" name="Employee Name" totalsRowFunction="custom" dataDxfId="65" totalsRowDxfId="64" dataCellStyle="Employee">
      <totalsRowFormula>MonthName&amp;" Total"</totalsRowFormula>
    </tableColumn>
    <tableColumn id="2" xr3:uid="{00000000-0010-0000-0B00-000002000000}" name="1" totalsRowFunction="count" dataDxfId="63" totalsRowDxfId="62"/>
    <tableColumn id="3" xr3:uid="{00000000-0010-0000-0B00-000003000000}" name="2" totalsRowFunction="count" dataDxfId="61" totalsRowDxfId="60"/>
    <tableColumn id="4" xr3:uid="{00000000-0010-0000-0B00-000004000000}" name="3" totalsRowFunction="count" dataDxfId="59" totalsRowDxfId="58"/>
    <tableColumn id="5" xr3:uid="{00000000-0010-0000-0B00-000005000000}" name="4" totalsRowFunction="count" dataDxfId="57" totalsRowDxfId="56"/>
    <tableColumn id="6" xr3:uid="{00000000-0010-0000-0B00-000006000000}" name="5" totalsRowFunction="count" dataDxfId="55" totalsRowDxfId="54"/>
    <tableColumn id="7" xr3:uid="{00000000-0010-0000-0B00-000007000000}" name="6" totalsRowFunction="count" dataDxfId="53" totalsRowDxfId="52"/>
    <tableColumn id="8" xr3:uid="{00000000-0010-0000-0B00-000008000000}" name="7" totalsRowFunction="count" dataDxfId="51" totalsRowDxfId="50"/>
    <tableColumn id="9" xr3:uid="{00000000-0010-0000-0B00-000009000000}" name="8" totalsRowFunction="count" dataDxfId="49" totalsRowDxfId="48"/>
    <tableColumn id="10" xr3:uid="{00000000-0010-0000-0B00-00000A000000}" name="9" totalsRowFunction="count" dataDxfId="47" totalsRowDxfId="46"/>
    <tableColumn id="11" xr3:uid="{00000000-0010-0000-0B00-00000B000000}" name="10" totalsRowFunction="count" dataDxfId="45" totalsRowDxfId="44"/>
    <tableColumn id="12" xr3:uid="{00000000-0010-0000-0B00-00000C000000}" name="11" totalsRowFunction="count" dataDxfId="43" totalsRowDxfId="42"/>
    <tableColumn id="13" xr3:uid="{00000000-0010-0000-0B00-00000D000000}" name="12" totalsRowFunction="count" dataDxfId="41" totalsRowDxfId="40"/>
    <tableColumn id="14" xr3:uid="{00000000-0010-0000-0B00-00000E000000}" name="13" totalsRowFunction="count" dataDxfId="39" totalsRowDxfId="38"/>
    <tableColumn id="15" xr3:uid="{00000000-0010-0000-0B00-00000F000000}" name="14" totalsRowFunction="count" dataDxfId="37" totalsRowDxfId="36"/>
    <tableColumn id="16" xr3:uid="{00000000-0010-0000-0B00-000010000000}" name="15" totalsRowFunction="count" dataDxfId="35" totalsRowDxfId="34"/>
    <tableColumn id="17" xr3:uid="{00000000-0010-0000-0B00-000011000000}" name="16" totalsRowFunction="count" dataDxfId="33" totalsRowDxfId="32"/>
    <tableColumn id="18" xr3:uid="{00000000-0010-0000-0B00-000012000000}" name="17" totalsRowFunction="count" dataDxfId="31" totalsRowDxfId="30"/>
    <tableColumn id="19" xr3:uid="{00000000-0010-0000-0B00-000013000000}" name="18" totalsRowFunction="count" dataDxfId="29" totalsRowDxfId="28"/>
    <tableColumn id="20" xr3:uid="{00000000-0010-0000-0B00-000014000000}" name="19" totalsRowFunction="count" dataDxfId="27" totalsRowDxfId="26"/>
    <tableColumn id="21" xr3:uid="{00000000-0010-0000-0B00-000015000000}" name="20" totalsRowFunction="count" dataDxfId="25" totalsRowDxfId="24"/>
    <tableColumn id="22" xr3:uid="{00000000-0010-0000-0B00-000016000000}" name="21" totalsRowFunction="count" dataDxfId="23" totalsRowDxfId="22"/>
    <tableColumn id="23" xr3:uid="{00000000-0010-0000-0B00-000017000000}" name="22" totalsRowFunction="count" dataDxfId="21" totalsRowDxfId="20"/>
    <tableColumn id="24" xr3:uid="{00000000-0010-0000-0B00-000018000000}" name="23" totalsRowFunction="count" dataDxfId="19" totalsRowDxfId="18"/>
    <tableColumn id="25" xr3:uid="{00000000-0010-0000-0B00-000019000000}" name="24" totalsRowFunction="count" dataDxfId="17" totalsRowDxfId="16"/>
    <tableColumn id="26" xr3:uid="{00000000-0010-0000-0B00-00001A000000}" name="25" totalsRowFunction="count" dataDxfId="15" totalsRowDxfId="14"/>
    <tableColumn id="27" xr3:uid="{00000000-0010-0000-0B00-00001B000000}" name="26" totalsRowFunction="count" dataDxfId="13" totalsRowDxfId="12"/>
    <tableColumn id="28" xr3:uid="{00000000-0010-0000-0B00-00001C000000}" name="27" totalsRowFunction="count" dataDxfId="11" totalsRowDxfId="10"/>
    <tableColumn id="29" xr3:uid="{00000000-0010-0000-0B00-00001D000000}" name="28" totalsRowFunction="count" dataDxfId="9" totalsRowDxfId="8"/>
    <tableColumn id="30" xr3:uid="{00000000-0010-0000-0B00-00001E000000}" name="29" totalsRowFunction="count" dataDxfId="7" totalsRowDxfId="6"/>
    <tableColumn id="31" xr3:uid="{00000000-0010-0000-0B00-00001F000000}" name="30" totalsRowFunction="sum" dataDxfId="5" totalsRowDxfId="4"/>
    <tableColumn id="32" xr3:uid="{00000000-0010-0000-0B00-000020000000}" name="31" totalsRowFunction="sum" dataDxfId="3" totalsRowDxfId="2" dataCellStyle="Total"/>
    <tableColumn id="33" xr3:uid="{00000000-0010-0000-0B00-000021000000}" name="Total Days" totalsRowFunction="sum" dataDxfId="1" totalsRowDxfId="0" dataCellStyle="Total">
      <calculatedColumnFormula>COUNTA(December[[#This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mployeeName" displayName="EmployeeName" ref="B3:B8" totalsRowShown="0" dataCellStyle="Employee">
  <autoFilter ref="B3:B8" xr:uid="{00000000-0009-0000-0100-00000D000000}"/>
  <tableColumns count="1">
    <tableColumn id="1" xr3:uid="{00000000-0010-0000-0C00-000001000000}" name="Employee Names"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B6:AH12" totalsRowCount="1" headerRowDxfId="808" dataDxfId="807" totalsRowDxfId="806">
  <tableColumns count="33">
    <tableColumn id="1" xr3:uid="{00000000-0010-0000-0100-000001000000}" name="Employee Name" totalsRowFunction="custom" dataDxfId="805" totalsRowDxfId="804" dataCellStyle="Employee">
      <totalsRowFormula>MonthName&amp;" Total"</totalsRowFormula>
    </tableColumn>
    <tableColumn id="2" xr3:uid="{00000000-0010-0000-0100-000002000000}" name="1" totalsRowFunction="count" dataDxfId="803" totalsRowDxfId="802" dataCellStyle="Total"/>
    <tableColumn id="3" xr3:uid="{00000000-0010-0000-0100-000003000000}" name="2" totalsRowFunction="count" dataDxfId="801" totalsRowDxfId="800" dataCellStyle="Total"/>
    <tableColumn id="4" xr3:uid="{00000000-0010-0000-0100-000004000000}" name="3" totalsRowFunction="count" dataDxfId="799" totalsRowDxfId="798" dataCellStyle="Total"/>
    <tableColumn id="5" xr3:uid="{00000000-0010-0000-0100-000005000000}" name="4" totalsRowFunction="count" dataDxfId="797" totalsRowDxfId="796" dataCellStyle="Total"/>
    <tableColumn id="6" xr3:uid="{00000000-0010-0000-0100-000006000000}" name="5" totalsRowFunction="count" dataDxfId="795" totalsRowDxfId="794" dataCellStyle="Total"/>
    <tableColumn id="7" xr3:uid="{00000000-0010-0000-0100-000007000000}" name="6" totalsRowFunction="count" dataDxfId="793" totalsRowDxfId="792" dataCellStyle="Total"/>
    <tableColumn id="8" xr3:uid="{00000000-0010-0000-0100-000008000000}" name="7" totalsRowFunction="count" dataDxfId="791" totalsRowDxfId="790" dataCellStyle="Total"/>
    <tableColumn id="9" xr3:uid="{00000000-0010-0000-0100-000009000000}" name="8" totalsRowFunction="count" dataDxfId="789" totalsRowDxfId="788" dataCellStyle="Total"/>
    <tableColumn id="10" xr3:uid="{00000000-0010-0000-0100-00000A000000}" name="9" totalsRowFunction="count" dataDxfId="787" totalsRowDxfId="786" dataCellStyle="Total"/>
    <tableColumn id="11" xr3:uid="{00000000-0010-0000-0100-00000B000000}" name="10" totalsRowFunction="count" dataDxfId="785" totalsRowDxfId="784" dataCellStyle="Total"/>
    <tableColumn id="12" xr3:uid="{00000000-0010-0000-0100-00000C000000}" name="11" totalsRowFunction="count" dataDxfId="783" totalsRowDxfId="782" dataCellStyle="Total"/>
    <tableColumn id="13" xr3:uid="{00000000-0010-0000-0100-00000D000000}" name="12" totalsRowFunction="count" dataDxfId="781" totalsRowDxfId="780" dataCellStyle="Total"/>
    <tableColumn id="14" xr3:uid="{00000000-0010-0000-0100-00000E000000}" name="13" totalsRowFunction="count" dataDxfId="779" totalsRowDxfId="778" dataCellStyle="Total"/>
    <tableColumn id="15" xr3:uid="{00000000-0010-0000-0100-00000F000000}" name="14" totalsRowFunction="count" dataDxfId="777" totalsRowDxfId="776" dataCellStyle="Total"/>
    <tableColumn id="16" xr3:uid="{00000000-0010-0000-0100-000010000000}" name="15" totalsRowFunction="count" dataDxfId="775" totalsRowDxfId="774" dataCellStyle="Total"/>
    <tableColumn id="17" xr3:uid="{00000000-0010-0000-0100-000011000000}" name="16" totalsRowFunction="count" dataDxfId="773" totalsRowDxfId="772" dataCellStyle="Total"/>
    <tableColumn id="18" xr3:uid="{00000000-0010-0000-0100-000012000000}" name="17" totalsRowFunction="count" dataDxfId="771" totalsRowDxfId="770" dataCellStyle="Total"/>
    <tableColumn id="19" xr3:uid="{00000000-0010-0000-0100-000013000000}" name="18" totalsRowFunction="count" dataDxfId="769" totalsRowDxfId="768" dataCellStyle="Total"/>
    <tableColumn id="20" xr3:uid="{00000000-0010-0000-0100-000014000000}" name="19" totalsRowFunction="count" dataDxfId="767" totalsRowDxfId="766" dataCellStyle="Total"/>
    <tableColumn id="21" xr3:uid="{00000000-0010-0000-0100-000015000000}" name="20" totalsRowFunction="count" dataDxfId="765" totalsRowDxfId="764" dataCellStyle="Total"/>
    <tableColumn id="22" xr3:uid="{00000000-0010-0000-0100-000016000000}" name="21" totalsRowFunction="count" dataDxfId="763" totalsRowDxfId="762" dataCellStyle="Total"/>
    <tableColumn id="23" xr3:uid="{00000000-0010-0000-0100-000017000000}" name="22" totalsRowFunction="count" dataDxfId="761" totalsRowDxfId="760" dataCellStyle="Total"/>
    <tableColumn id="24" xr3:uid="{00000000-0010-0000-0100-000018000000}" name="23" totalsRowFunction="count" dataDxfId="759" totalsRowDxfId="758" dataCellStyle="Total"/>
    <tableColumn id="25" xr3:uid="{00000000-0010-0000-0100-000019000000}" name="24" totalsRowFunction="count" dataDxfId="757" totalsRowDxfId="756" dataCellStyle="Total"/>
    <tableColumn id="26" xr3:uid="{00000000-0010-0000-0100-00001A000000}" name="25" totalsRowFunction="count" dataDxfId="755" totalsRowDxfId="754" dataCellStyle="Total"/>
    <tableColumn id="27" xr3:uid="{00000000-0010-0000-0100-00001B000000}" name="26" totalsRowFunction="count" dataDxfId="753" totalsRowDxfId="752" dataCellStyle="Total"/>
    <tableColumn id="28" xr3:uid="{00000000-0010-0000-0100-00001C000000}" name="27" totalsRowFunction="count" dataDxfId="751" totalsRowDxfId="750" dataCellStyle="Total"/>
    <tableColumn id="29" xr3:uid="{00000000-0010-0000-0100-00001D000000}" name="28" totalsRowFunction="count" dataDxfId="749" totalsRowDxfId="748" dataCellStyle="Total"/>
    <tableColumn id="30" xr3:uid="{00000000-0010-0000-0100-00001E000000}" name="29" totalsRowFunction="count" dataDxfId="747" totalsRowDxfId="746" dataCellStyle="Total"/>
    <tableColumn id="31" xr3:uid="{00000000-0010-0000-0100-00001F000000}" name=" " dataDxfId="745" totalsRowDxfId="744" dataCellStyle="Total"/>
    <tableColumn id="32" xr3:uid="{00000000-0010-0000-0100-000020000000}" name="  " dataDxfId="743" totalsRowDxfId="742" dataCellStyle="Total"/>
    <tableColumn id="33" xr3:uid="{00000000-0010-0000-0100-000021000000}" name="Total Days" totalsRowFunction="sum" dataDxfId="741" totalsRowDxfId="740" dataCellStyle="Total">
      <calculatedColumnFormula>COUNTA(February[[#This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ch" displayName="March" ref="B6:AH12" totalsRowCount="1" headerRowDxfId="734" dataDxfId="733" totalsRowDxfId="732">
  <tableColumns count="33">
    <tableColumn id="1" xr3:uid="{00000000-0010-0000-0200-000001000000}" name="Employee Name" totalsRowFunction="custom" dataDxfId="731" totalsRowDxfId="730" dataCellStyle="Employee">
      <totalsRowFormula>MonthName&amp;" Total"</totalsRowFormula>
    </tableColumn>
    <tableColumn id="2" xr3:uid="{00000000-0010-0000-0200-000002000000}" name="1" totalsRowFunction="count" dataDxfId="729" totalsRowDxfId="728"/>
    <tableColumn id="3" xr3:uid="{00000000-0010-0000-0200-000003000000}" name="2" totalsRowFunction="count" dataDxfId="727" totalsRowDxfId="726"/>
    <tableColumn id="4" xr3:uid="{00000000-0010-0000-0200-000004000000}" name="3" totalsRowFunction="count" dataDxfId="725" totalsRowDxfId="724"/>
    <tableColumn id="5" xr3:uid="{00000000-0010-0000-0200-000005000000}" name="4" totalsRowFunction="count" dataDxfId="723" totalsRowDxfId="722"/>
    <tableColumn id="6" xr3:uid="{00000000-0010-0000-0200-000006000000}" name="5" totalsRowFunction="count" dataDxfId="721" totalsRowDxfId="720"/>
    <tableColumn id="7" xr3:uid="{00000000-0010-0000-0200-000007000000}" name="6" totalsRowFunction="count" dataDxfId="719" totalsRowDxfId="718"/>
    <tableColumn id="8" xr3:uid="{00000000-0010-0000-0200-000008000000}" name="7" totalsRowFunction="count" dataDxfId="717" totalsRowDxfId="716"/>
    <tableColumn id="9" xr3:uid="{00000000-0010-0000-0200-000009000000}" name="8" totalsRowFunction="count" dataDxfId="715" totalsRowDxfId="714"/>
    <tableColumn id="10" xr3:uid="{00000000-0010-0000-0200-00000A000000}" name="9" totalsRowFunction="count" dataDxfId="713" totalsRowDxfId="712"/>
    <tableColumn id="11" xr3:uid="{00000000-0010-0000-0200-00000B000000}" name="10" totalsRowFunction="count" dataDxfId="711" totalsRowDxfId="710"/>
    <tableColumn id="12" xr3:uid="{00000000-0010-0000-0200-00000C000000}" name="11" totalsRowFunction="count" dataDxfId="709" totalsRowDxfId="708"/>
    <tableColumn id="13" xr3:uid="{00000000-0010-0000-0200-00000D000000}" name="12" totalsRowFunction="count" dataDxfId="707" totalsRowDxfId="706"/>
    <tableColumn id="14" xr3:uid="{00000000-0010-0000-0200-00000E000000}" name="13" totalsRowFunction="count" dataDxfId="705" totalsRowDxfId="704"/>
    <tableColumn id="15" xr3:uid="{00000000-0010-0000-0200-00000F000000}" name="14" totalsRowFunction="count" dataDxfId="703" totalsRowDxfId="702"/>
    <tableColumn id="16" xr3:uid="{00000000-0010-0000-0200-000010000000}" name="15" totalsRowFunction="count" dataDxfId="701" totalsRowDxfId="700"/>
    <tableColumn id="17" xr3:uid="{00000000-0010-0000-0200-000011000000}" name="16" totalsRowFunction="count" dataDxfId="699" totalsRowDxfId="698"/>
    <tableColumn id="18" xr3:uid="{00000000-0010-0000-0200-000012000000}" name="17" totalsRowFunction="count" dataDxfId="697" totalsRowDxfId="696"/>
    <tableColumn id="19" xr3:uid="{00000000-0010-0000-0200-000013000000}" name="18" totalsRowFunction="count" dataDxfId="695" totalsRowDxfId="694"/>
    <tableColumn id="20" xr3:uid="{00000000-0010-0000-0200-000014000000}" name="19" totalsRowFunction="count" dataDxfId="693" totalsRowDxfId="692"/>
    <tableColumn id="21" xr3:uid="{00000000-0010-0000-0200-000015000000}" name="20" totalsRowFunction="count" dataDxfId="691" totalsRowDxfId="690"/>
    <tableColumn id="22" xr3:uid="{00000000-0010-0000-0200-000016000000}" name="21" totalsRowFunction="count" dataDxfId="689" totalsRowDxfId="688"/>
    <tableColumn id="23" xr3:uid="{00000000-0010-0000-0200-000017000000}" name="22" totalsRowFunction="count" dataDxfId="687" totalsRowDxfId="686"/>
    <tableColumn id="24" xr3:uid="{00000000-0010-0000-0200-000018000000}" name="23" totalsRowFunction="count" dataDxfId="685" totalsRowDxfId="684"/>
    <tableColumn id="25" xr3:uid="{00000000-0010-0000-0200-000019000000}" name="24" totalsRowFunction="count" dataDxfId="683" totalsRowDxfId="682"/>
    <tableColumn id="26" xr3:uid="{00000000-0010-0000-0200-00001A000000}" name="25" totalsRowFunction="count" dataDxfId="681" totalsRowDxfId="680"/>
    <tableColumn id="27" xr3:uid="{00000000-0010-0000-0200-00001B000000}" name="26" totalsRowFunction="count" dataDxfId="679" totalsRowDxfId="678"/>
    <tableColumn id="28" xr3:uid="{00000000-0010-0000-0200-00001C000000}" name="27" totalsRowFunction="count" dataDxfId="677" totalsRowDxfId="676"/>
    <tableColumn id="29" xr3:uid="{00000000-0010-0000-0200-00001D000000}" name="28" totalsRowFunction="count" dataDxfId="675" totalsRowDxfId="674"/>
    <tableColumn id="30" xr3:uid="{00000000-0010-0000-0200-00001E000000}" name="29" totalsRowFunction="count" dataDxfId="673" totalsRowDxfId="672"/>
    <tableColumn id="31" xr3:uid="{00000000-0010-0000-0200-00001F000000}" name="30" totalsRowFunction="sum" dataDxfId="671" totalsRowDxfId="670"/>
    <tableColumn id="32" xr3:uid="{00000000-0010-0000-0200-000020000000}" name="31" totalsRowFunction="sum" dataDxfId="669" totalsRowDxfId="668" dataCellStyle="Total"/>
    <tableColumn id="33" xr3:uid="{00000000-0010-0000-0200-000021000000}" name="Total Days" totalsRowFunction="sum" dataDxfId="667" totalsRowDxfId="666" dataCellStyle="Total">
      <calculatedColumnFormula>COUNTA(March[[#This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pril" displayName="April" ref="B6:AH12" totalsRowCount="1" headerRowDxfId="660" dataDxfId="659" totalsRowDxfId="658">
  <tableColumns count="33">
    <tableColumn id="1" xr3:uid="{00000000-0010-0000-0300-000001000000}" name="Employee Name" totalsRowFunction="custom" dataDxfId="657" totalsRowDxfId="656" dataCellStyle="Employee">
      <totalsRowFormula>MonthName&amp;" Total"</totalsRowFormula>
    </tableColumn>
    <tableColumn id="2" xr3:uid="{00000000-0010-0000-0300-000002000000}" name="1" totalsRowFunction="count" dataDxfId="655" totalsRowDxfId="654"/>
    <tableColumn id="3" xr3:uid="{00000000-0010-0000-0300-000003000000}" name="2" totalsRowFunction="count" dataDxfId="653" totalsRowDxfId="652"/>
    <tableColumn id="4" xr3:uid="{00000000-0010-0000-0300-000004000000}" name="3" totalsRowFunction="count" dataDxfId="651" totalsRowDxfId="650"/>
    <tableColumn id="5" xr3:uid="{00000000-0010-0000-0300-000005000000}" name="4" totalsRowFunction="count" dataDxfId="649" totalsRowDxfId="648"/>
    <tableColumn id="6" xr3:uid="{00000000-0010-0000-0300-000006000000}" name="5" totalsRowFunction="count" dataDxfId="647" totalsRowDxfId="646"/>
    <tableColumn id="7" xr3:uid="{00000000-0010-0000-0300-000007000000}" name="6" totalsRowFunction="count" dataDxfId="645" totalsRowDxfId="644"/>
    <tableColumn id="8" xr3:uid="{00000000-0010-0000-0300-000008000000}" name="7" totalsRowFunction="count" dataDxfId="643" totalsRowDxfId="642"/>
    <tableColumn id="9" xr3:uid="{00000000-0010-0000-0300-000009000000}" name="8" totalsRowFunction="count" dataDxfId="641" totalsRowDxfId="640"/>
    <tableColumn id="10" xr3:uid="{00000000-0010-0000-0300-00000A000000}" name="9" totalsRowFunction="count" dataDxfId="639" totalsRowDxfId="638"/>
    <tableColumn id="11" xr3:uid="{00000000-0010-0000-0300-00000B000000}" name="10" totalsRowFunction="count" dataDxfId="637" totalsRowDxfId="636"/>
    <tableColumn id="12" xr3:uid="{00000000-0010-0000-0300-00000C000000}" name="11" totalsRowFunction="count" dataDxfId="635" totalsRowDxfId="634"/>
    <tableColumn id="13" xr3:uid="{00000000-0010-0000-0300-00000D000000}" name="12" totalsRowFunction="count" dataDxfId="633" totalsRowDxfId="632"/>
    <tableColumn id="14" xr3:uid="{00000000-0010-0000-0300-00000E000000}" name="13" totalsRowFunction="count" dataDxfId="631" totalsRowDxfId="630"/>
    <tableColumn id="15" xr3:uid="{00000000-0010-0000-0300-00000F000000}" name="14" totalsRowFunction="count" dataDxfId="629" totalsRowDxfId="628"/>
    <tableColumn id="16" xr3:uid="{00000000-0010-0000-0300-000010000000}" name="15" totalsRowFunction="count" dataDxfId="627" totalsRowDxfId="626"/>
    <tableColumn id="17" xr3:uid="{00000000-0010-0000-0300-000011000000}" name="16" totalsRowFunction="count" dataDxfId="625" totalsRowDxfId="624"/>
    <tableColumn id="18" xr3:uid="{00000000-0010-0000-0300-000012000000}" name="17" totalsRowFunction="count" dataDxfId="623" totalsRowDxfId="622"/>
    <tableColumn id="19" xr3:uid="{00000000-0010-0000-0300-000013000000}" name="18" totalsRowFunction="count" dataDxfId="621" totalsRowDxfId="620"/>
    <tableColumn id="20" xr3:uid="{00000000-0010-0000-0300-000014000000}" name="19" totalsRowFunction="count" dataDxfId="619" totalsRowDxfId="618"/>
    <tableColumn id="21" xr3:uid="{00000000-0010-0000-0300-000015000000}" name="20" totalsRowFunction="count" dataDxfId="617" totalsRowDxfId="616"/>
    <tableColumn id="22" xr3:uid="{00000000-0010-0000-0300-000016000000}" name="21" totalsRowFunction="count" dataDxfId="615" totalsRowDxfId="614"/>
    <tableColumn id="23" xr3:uid="{00000000-0010-0000-0300-000017000000}" name="22" totalsRowFunction="count" dataDxfId="613" totalsRowDxfId="612"/>
    <tableColumn id="24" xr3:uid="{00000000-0010-0000-0300-000018000000}" name="23" totalsRowFunction="count" dataDxfId="611" totalsRowDxfId="610"/>
    <tableColumn id="25" xr3:uid="{00000000-0010-0000-0300-000019000000}" name="24" totalsRowFunction="count" dataDxfId="609" totalsRowDxfId="608"/>
    <tableColumn id="26" xr3:uid="{00000000-0010-0000-0300-00001A000000}" name="25" totalsRowFunction="count" dataDxfId="607" totalsRowDxfId="606"/>
    <tableColumn id="27" xr3:uid="{00000000-0010-0000-0300-00001B000000}" name="26" totalsRowFunction="count" dataDxfId="605" totalsRowDxfId="604"/>
    <tableColumn id="28" xr3:uid="{00000000-0010-0000-0300-00001C000000}" name="27" totalsRowFunction="count" dataDxfId="603" totalsRowDxfId="602"/>
    <tableColumn id="29" xr3:uid="{00000000-0010-0000-0300-00001D000000}" name="28" totalsRowFunction="count" dataDxfId="601" totalsRowDxfId="600"/>
    <tableColumn id="30" xr3:uid="{00000000-0010-0000-0300-00001E000000}" name="29" totalsRowFunction="count" dataDxfId="599" totalsRowDxfId="598"/>
    <tableColumn id="31" xr3:uid="{00000000-0010-0000-0300-00001F000000}" name="30" totalsRowFunction="sum" dataDxfId="597" totalsRowDxfId="596"/>
    <tableColumn id="32" xr3:uid="{00000000-0010-0000-0300-000020000000}" name="31" totalsRowFunction="sum" dataDxfId="595" totalsRowDxfId="594" dataCellStyle="Total"/>
    <tableColumn id="33" xr3:uid="{00000000-0010-0000-0300-000021000000}" name="Total Days" totalsRowFunction="sum" dataDxfId="593" totalsRowDxfId="592" dataCellStyle="Total">
      <calculatedColumnFormula>COUNTA(April[[#This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y" displayName="May" ref="B6:AH12" totalsRowCount="1" headerRowDxfId="586" dataDxfId="585" totalsRowDxfId="584">
  <tableColumns count="33">
    <tableColumn id="1" xr3:uid="{00000000-0010-0000-0400-000001000000}" name="Employee Name" totalsRowFunction="custom" dataDxfId="583" totalsRowDxfId="582" dataCellStyle="Employee">
      <totalsRowFormula>MonthName&amp;" Total"</totalsRowFormula>
    </tableColumn>
    <tableColumn id="2" xr3:uid="{00000000-0010-0000-0400-000002000000}" name="1" totalsRowFunction="count" dataDxfId="581" totalsRowDxfId="580"/>
    <tableColumn id="3" xr3:uid="{00000000-0010-0000-0400-000003000000}" name="2" totalsRowFunction="count" dataDxfId="579" totalsRowDxfId="578"/>
    <tableColumn id="4" xr3:uid="{00000000-0010-0000-0400-000004000000}" name="3" totalsRowFunction="count" dataDxfId="577" totalsRowDxfId="576"/>
    <tableColumn id="5" xr3:uid="{00000000-0010-0000-0400-000005000000}" name="4" totalsRowFunction="count" dataDxfId="575" totalsRowDxfId="574"/>
    <tableColumn id="6" xr3:uid="{00000000-0010-0000-0400-000006000000}" name="5" totalsRowFunction="count" dataDxfId="573" totalsRowDxfId="572"/>
    <tableColumn id="7" xr3:uid="{00000000-0010-0000-0400-000007000000}" name="6" totalsRowFunction="count" dataDxfId="571" totalsRowDxfId="570"/>
    <tableColumn id="8" xr3:uid="{00000000-0010-0000-0400-000008000000}" name="7" totalsRowFunction="count" dataDxfId="569" totalsRowDxfId="568"/>
    <tableColumn id="9" xr3:uid="{00000000-0010-0000-0400-000009000000}" name="8" totalsRowFunction="count" dataDxfId="567" totalsRowDxfId="566"/>
    <tableColumn id="10" xr3:uid="{00000000-0010-0000-0400-00000A000000}" name="9" totalsRowFunction="count" dataDxfId="565" totalsRowDxfId="564"/>
    <tableColumn id="11" xr3:uid="{00000000-0010-0000-0400-00000B000000}" name="10" totalsRowFunction="count" dataDxfId="563" totalsRowDxfId="562"/>
    <tableColumn id="12" xr3:uid="{00000000-0010-0000-0400-00000C000000}" name="11" totalsRowFunction="count" dataDxfId="561" totalsRowDxfId="560"/>
    <tableColumn id="13" xr3:uid="{00000000-0010-0000-0400-00000D000000}" name="12" totalsRowFunction="count" dataDxfId="559" totalsRowDxfId="558"/>
    <tableColumn id="14" xr3:uid="{00000000-0010-0000-0400-00000E000000}" name="13" totalsRowFunction="count" dataDxfId="557" totalsRowDxfId="556"/>
    <tableColumn id="15" xr3:uid="{00000000-0010-0000-0400-00000F000000}" name="14" totalsRowFunction="count" dataDxfId="555" totalsRowDxfId="554"/>
    <tableColumn id="16" xr3:uid="{00000000-0010-0000-0400-000010000000}" name="15" totalsRowFunction="count" dataDxfId="553" totalsRowDxfId="552"/>
    <tableColumn id="17" xr3:uid="{00000000-0010-0000-0400-000011000000}" name="16" totalsRowFunction="count" dataDxfId="551" totalsRowDxfId="550"/>
    <tableColumn id="18" xr3:uid="{00000000-0010-0000-0400-000012000000}" name="17" totalsRowFunction="count" dataDxfId="549" totalsRowDxfId="548"/>
    <tableColumn id="19" xr3:uid="{00000000-0010-0000-0400-000013000000}" name="18" totalsRowFunction="count" dataDxfId="547" totalsRowDxfId="546"/>
    <tableColumn id="20" xr3:uid="{00000000-0010-0000-0400-000014000000}" name="19" totalsRowFunction="count" dataDxfId="545" totalsRowDxfId="544"/>
    <tableColumn id="21" xr3:uid="{00000000-0010-0000-0400-000015000000}" name="20" totalsRowFunction="count" dataDxfId="543" totalsRowDxfId="542"/>
    <tableColumn id="22" xr3:uid="{00000000-0010-0000-0400-000016000000}" name="21" totalsRowFunction="count" dataDxfId="541" totalsRowDxfId="540"/>
    <tableColumn id="23" xr3:uid="{00000000-0010-0000-0400-000017000000}" name="22" totalsRowFunction="count" dataDxfId="539" totalsRowDxfId="538"/>
    <tableColumn id="24" xr3:uid="{00000000-0010-0000-0400-000018000000}" name="23" totalsRowFunction="count" dataDxfId="537" totalsRowDxfId="536"/>
    <tableColumn id="25" xr3:uid="{00000000-0010-0000-0400-000019000000}" name="24" totalsRowFunction="count" dataDxfId="535" totalsRowDxfId="534"/>
    <tableColumn id="26" xr3:uid="{00000000-0010-0000-0400-00001A000000}" name="25" totalsRowFunction="count" dataDxfId="533" totalsRowDxfId="532"/>
    <tableColumn id="27" xr3:uid="{00000000-0010-0000-0400-00001B000000}" name="26" totalsRowFunction="count" dataDxfId="531" totalsRowDxfId="530"/>
    <tableColumn id="28" xr3:uid="{00000000-0010-0000-0400-00001C000000}" name="27" totalsRowFunction="count" dataDxfId="529" totalsRowDxfId="528"/>
    <tableColumn id="29" xr3:uid="{00000000-0010-0000-0400-00001D000000}" name="28" totalsRowFunction="count" dataDxfId="527" totalsRowDxfId="526"/>
    <tableColumn id="30" xr3:uid="{00000000-0010-0000-0400-00001E000000}" name="29" totalsRowFunction="count" dataDxfId="525" totalsRowDxfId="524"/>
    <tableColumn id="31" xr3:uid="{00000000-0010-0000-0400-00001F000000}" name="30" totalsRowFunction="sum" dataDxfId="523" totalsRowDxfId="522"/>
    <tableColumn id="32" xr3:uid="{00000000-0010-0000-0400-000020000000}" name="31" totalsRowFunction="sum" dataDxfId="521" totalsRowDxfId="520" dataCellStyle="Total"/>
    <tableColumn id="33" xr3:uid="{00000000-0010-0000-0400-000021000000}" name="Total Days" totalsRowFunction="sum" dataDxfId="519" totalsRowDxfId="518" dataCellStyle="Total">
      <calculatedColumnFormula>COUNTA(May[[#This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ne" displayName="June" ref="B6:AH12" totalsRowCount="1" headerRowDxfId="512" dataDxfId="511" totalsRowDxfId="510">
  <tableColumns count="33">
    <tableColumn id="1" xr3:uid="{00000000-0010-0000-0500-000001000000}" name="Employee Name" totalsRowFunction="custom" dataDxfId="509" totalsRowDxfId="508" dataCellStyle="Employee">
      <totalsRowFormula>MonthName&amp;" Total"</totalsRowFormula>
    </tableColumn>
    <tableColumn id="2" xr3:uid="{00000000-0010-0000-0500-000002000000}" name="1" totalsRowFunction="count" dataDxfId="507" totalsRowDxfId="506"/>
    <tableColumn id="3" xr3:uid="{00000000-0010-0000-0500-000003000000}" name="2" totalsRowFunction="count" dataDxfId="505" totalsRowDxfId="504"/>
    <tableColumn id="4" xr3:uid="{00000000-0010-0000-0500-000004000000}" name="3" totalsRowFunction="count" dataDxfId="503" totalsRowDxfId="502"/>
    <tableColumn id="5" xr3:uid="{00000000-0010-0000-0500-000005000000}" name="4" totalsRowFunction="count" dataDxfId="501" totalsRowDxfId="500"/>
    <tableColumn id="6" xr3:uid="{00000000-0010-0000-0500-000006000000}" name="5" totalsRowFunction="count" dataDxfId="499" totalsRowDxfId="498"/>
    <tableColumn id="7" xr3:uid="{00000000-0010-0000-0500-000007000000}" name="6" totalsRowFunction="count" dataDxfId="497" totalsRowDxfId="496"/>
    <tableColumn id="8" xr3:uid="{00000000-0010-0000-0500-000008000000}" name="7" totalsRowFunction="count" dataDxfId="495" totalsRowDxfId="494"/>
    <tableColumn id="9" xr3:uid="{00000000-0010-0000-0500-000009000000}" name="8" totalsRowFunction="count" dataDxfId="493" totalsRowDxfId="492"/>
    <tableColumn id="10" xr3:uid="{00000000-0010-0000-0500-00000A000000}" name="9" totalsRowFunction="count" dataDxfId="491" totalsRowDxfId="490"/>
    <tableColumn id="11" xr3:uid="{00000000-0010-0000-0500-00000B000000}" name="10" totalsRowFunction="count" dataDxfId="489" totalsRowDxfId="488"/>
    <tableColumn id="12" xr3:uid="{00000000-0010-0000-0500-00000C000000}" name="11" totalsRowFunction="count" dataDxfId="487" totalsRowDxfId="486"/>
    <tableColumn id="13" xr3:uid="{00000000-0010-0000-0500-00000D000000}" name="12" totalsRowFunction="count" dataDxfId="485" totalsRowDxfId="484"/>
    <tableColumn id="14" xr3:uid="{00000000-0010-0000-0500-00000E000000}" name="13" totalsRowFunction="count" dataDxfId="483" totalsRowDxfId="482"/>
    <tableColumn id="15" xr3:uid="{00000000-0010-0000-0500-00000F000000}" name="14" totalsRowFunction="count" dataDxfId="481" totalsRowDxfId="480"/>
    <tableColumn id="16" xr3:uid="{00000000-0010-0000-0500-000010000000}" name="15" totalsRowFunction="count" dataDxfId="479" totalsRowDxfId="478"/>
    <tableColumn id="17" xr3:uid="{00000000-0010-0000-0500-000011000000}" name="16" totalsRowFunction="count" dataDxfId="477" totalsRowDxfId="476"/>
    <tableColumn id="18" xr3:uid="{00000000-0010-0000-0500-000012000000}" name="17" totalsRowFunction="count" dataDxfId="475" totalsRowDxfId="474"/>
    <tableColumn id="19" xr3:uid="{00000000-0010-0000-0500-000013000000}" name="18" totalsRowFunction="count" dataDxfId="473" totalsRowDxfId="472"/>
    <tableColumn id="20" xr3:uid="{00000000-0010-0000-0500-000014000000}" name="19" totalsRowFunction="count" dataDxfId="471" totalsRowDxfId="470"/>
    <tableColumn id="21" xr3:uid="{00000000-0010-0000-0500-000015000000}" name="20" totalsRowFunction="count" dataDxfId="469" totalsRowDxfId="468"/>
    <tableColumn id="22" xr3:uid="{00000000-0010-0000-0500-000016000000}" name="21" totalsRowFunction="count" dataDxfId="467" totalsRowDxfId="466"/>
    <tableColumn id="23" xr3:uid="{00000000-0010-0000-0500-000017000000}" name="22" totalsRowFunction="count" dataDxfId="465" totalsRowDxfId="464"/>
    <tableColumn id="24" xr3:uid="{00000000-0010-0000-0500-000018000000}" name="23" totalsRowFunction="count" dataDxfId="463" totalsRowDxfId="462"/>
    <tableColumn id="25" xr3:uid="{00000000-0010-0000-0500-000019000000}" name="24" totalsRowFunction="count" dataDxfId="461" totalsRowDxfId="460"/>
    <tableColumn id="26" xr3:uid="{00000000-0010-0000-0500-00001A000000}" name="25" totalsRowFunction="count" dataDxfId="459" totalsRowDxfId="458"/>
    <tableColumn id="27" xr3:uid="{00000000-0010-0000-0500-00001B000000}" name="26" totalsRowFunction="count" dataDxfId="457" totalsRowDxfId="456"/>
    <tableColumn id="28" xr3:uid="{00000000-0010-0000-0500-00001C000000}" name="27" totalsRowFunction="count" dataDxfId="455" totalsRowDxfId="454"/>
    <tableColumn id="29" xr3:uid="{00000000-0010-0000-0500-00001D000000}" name="28" totalsRowFunction="count" dataDxfId="453" totalsRowDxfId="452"/>
    <tableColumn id="30" xr3:uid="{00000000-0010-0000-0500-00001E000000}" name="29" totalsRowFunction="count" dataDxfId="451" totalsRowDxfId="450"/>
    <tableColumn id="31" xr3:uid="{00000000-0010-0000-0500-00001F000000}" name="30" totalsRowFunction="sum" dataDxfId="449" totalsRowDxfId="448"/>
    <tableColumn id="32" xr3:uid="{00000000-0010-0000-0500-000020000000}" name="31" totalsRowFunction="sum" dataDxfId="447" totalsRowDxfId="446" dataCellStyle="Total"/>
    <tableColumn id="33" xr3:uid="{00000000-0010-0000-0500-000021000000}" name="Total Days" totalsRowFunction="sum" dataDxfId="445" totalsRowDxfId="444" dataCellStyle="Total">
      <calculatedColumnFormula>COUNTA(June[[#This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ly" displayName="July" ref="B6:AH12" totalsRowCount="1" headerRowDxfId="438" dataDxfId="437" totalsRowDxfId="436">
  <tableColumns count="33">
    <tableColumn id="1" xr3:uid="{00000000-0010-0000-0600-000001000000}" name="Employee Name" totalsRowFunction="custom" dataDxfId="435" totalsRowDxfId="434" dataCellStyle="Employee">
      <totalsRowFormula>MonthName&amp;" Total"</totalsRowFormula>
    </tableColumn>
    <tableColumn id="2" xr3:uid="{00000000-0010-0000-0600-000002000000}" name="1" totalsRowFunction="count" dataDxfId="433" totalsRowDxfId="432"/>
    <tableColumn id="3" xr3:uid="{00000000-0010-0000-0600-000003000000}" name="2" totalsRowFunction="count" dataDxfId="431" totalsRowDxfId="430"/>
    <tableColumn id="4" xr3:uid="{00000000-0010-0000-0600-000004000000}" name="3" totalsRowFunction="count" dataDxfId="429" totalsRowDxfId="428"/>
    <tableColumn id="5" xr3:uid="{00000000-0010-0000-0600-000005000000}" name="4" totalsRowFunction="count" dataDxfId="427" totalsRowDxfId="426"/>
    <tableColumn id="6" xr3:uid="{00000000-0010-0000-0600-000006000000}" name="5" totalsRowFunction="count" dataDxfId="425" totalsRowDxfId="424"/>
    <tableColumn id="7" xr3:uid="{00000000-0010-0000-0600-000007000000}" name="6" totalsRowFunction="count" dataDxfId="423" totalsRowDxfId="422"/>
    <tableColumn id="8" xr3:uid="{00000000-0010-0000-0600-000008000000}" name="7" totalsRowFunction="count" dataDxfId="421" totalsRowDxfId="420"/>
    <tableColumn id="9" xr3:uid="{00000000-0010-0000-0600-000009000000}" name="8" totalsRowFunction="count" dataDxfId="419" totalsRowDxfId="418"/>
    <tableColumn id="10" xr3:uid="{00000000-0010-0000-0600-00000A000000}" name="9" totalsRowFunction="count" dataDxfId="417" totalsRowDxfId="416"/>
    <tableColumn id="11" xr3:uid="{00000000-0010-0000-0600-00000B000000}" name="10" totalsRowFunction="count" dataDxfId="415" totalsRowDxfId="414"/>
    <tableColumn id="12" xr3:uid="{00000000-0010-0000-0600-00000C000000}" name="11" totalsRowFunction="count" dataDxfId="413" totalsRowDxfId="412"/>
    <tableColumn id="13" xr3:uid="{00000000-0010-0000-0600-00000D000000}" name="12" totalsRowFunction="count" dataDxfId="411" totalsRowDxfId="410"/>
    <tableColumn id="14" xr3:uid="{00000000-0010-0000-0600-00000E000000}" name="13" totalsRowFunction="count" dataDxfId="409" totalsRowDxfId="408"/>
    <tableColumn id="15" xr3:uid="{00000000-0010-0000-0600-00000F000000}" name="14" totalsRowFunction="count" dataDxfId="407" totalsRowDxfId="406"/>
    <tableColumn id="16" xr3:uid="{00000000-0010-0000-0600-000010000000}" name="15" totalsRowFunction="count" dataDxfId="405" totalsRowDxfId="404"/>
    <tableColumn id="17" xr3:uid="{00000000-0010-0000-0600-000011000000}" name="16" totalsRowFunction="count" dataDxfId="403" totalsRowDxfId="402"/>
    <tableColumn id="18" xr3:uid="{00000000-0010-0000-0600-000012000000}" name="17" totalsRowFunction="count" dataDxfId="401" totalsRowDxfId="400"/>
    <tableColumn id="19" xr3:uid="{00000000-0010-0000-0600-000013000000}" name="18" totalsRowFunction="count" dataDxfId="399" totalsRowDxfId="398"/>
    <tableColumn id="20" xr3:uid="{00000000-0010-0000-0600-000014000000}" name="19" totalsRowFunction="count" dataDxfId="397" totalsRowDxfId="396"/>
    <tableColumn id="21" xr3:uid="{00000000-0010-0000-0600-000015000000}" name="20" totalsRowFunction="count" dataDxfId="395" totalsRowDxfId="394"/>
    <tableColumn id="22" xr3:uid="{00000000-0010-0000-0600-000016000000}" name="21" totalsRowFunction="count" dataDxfId="393" totalsRowDxfId="392"/>
    <tableColumn id="23" xr3:uid="{00000000-0010-0000-0600-000017000000}" name="22" totalsRowFunction="count" dataDxfId="391" totalsRowDxfId="390"/>
    <tableColumn id="24" xr3:uid="{00000000-0010-0000-0600-000018000000}" name="23" totalsRowFunction="count" dataDxfId="389" totalsRowDxfId="388"/>
    <tableColumn id="25" xr3:uid="{00000000-0010-0000-0600-000019000000}" name="24" totalsRowFunction="count" dataDxfId="387" totalsRowDxfId="386"/>
    <tableColumn id="26" xr3:uid="{00000000-0010-0000-0600-00001A000000}" name="25" totalsRowFunction="count" dataDxfId="385" totalsRowDxfId="384"/>
    <tableColumn id="27" xr3:uid="{00000000-0010-0000-0600-00001B000000}" name="26" totalsRowFunction="count" dataDxfId="383" totalsRowDxfId="382"/>
    <tableColumn id="28" xr3:uid="{00000000-0010-0000-0600-00001C000000}" name="27" totalsRowFunction="count" dataDxfId="381" totalsRowDxfId="380"/>
    <tableColumn id="29" xr3:uid="{00000000-0010-0000-0600-00001D000000}" name="28" totalsRowFunction="count" dataDxfId="379" totalsRowDxfId="378"/>
    <tableColumn id="30" xr3:uid="{00000000-0010-0000-0600-00001E000000}" name="29" totalsRowFunction="count" dataDxfId="377" totalsRowDxfId="376"/>
    <tableColumn id="31" xr3:uid="{00000000-0010-0000-0600-00001F000000}" name="30" totalsRowFunction="sum" dataDxfId="375" totalsRowDxfId="374"/>
    <tableColumn id="32" xr3:uid="{00000000-0010-0000-0600-000020000000}" name="31" totalsRowFunction="sum" dataDxfId="373" totalsRowDxfId="372" dataCellStyle="Total"/>
    <tableColumn id="33" xr3:uid="{00000000-0010-0000-0600-000021000000}" name="Total Days" totalsRowFunction="sum" dataDxfId="371" totalsRowDxfId="370" dataCellStyle="Total">
      <calculatedColumnFormula>COUNTA(July[[#This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ugust" displayName="August" ref="B6:AH12" totalsRowCount="1" headerRowDxfId="364" dataDxfId="363" totalsRowDxfId="362">
  <tableColumns count="33">
    <tableColumn id="1" xr3:uid="{00000000-0010-0000-0700-000001000000}" name="Employee Name" totalsRowFunction="custom" dataDxfId="361" totalsRowDxfId="360" dataCellStyle="Employee">
      <totalsRowFormula>MonthName&amp;" Total"</totalsRowFormula>
    </tableColumn>
    <tableColumn id="2" xr3:uid="{00000000-0010-0000-0700-000002000000}" name="1" totalsRowFunction="count" dataDxfId="359" totalsRowDxfId="358"/>
    <tableColumn id="3" xr3:uid="{00000000-0010-0000-0700-000003000000}" name="2" totalsRowFunction="count" dataDxfId="357" totalsRowDxfId="356"/>
    <tableColumn id="4" xr3:uid="{00000000-0010-0000-0700-000004000000}" name="3" totalsRowFunction="count" dataDxfId="355" totalsRowDxfId="354"/>
    <tableColumn id="5" xr3:uid="{00000000-0010-0000-0700-000005000000}" name="4" totalsRowFunction="count" dataDxfId="353" totalsRowDxfId="352"/>
    <tableColumn id="6" xr3:uid="{00000000-0010-0000-0700-000006000000}" name="5" totalsRowFunction="count" dataDxfId="351" totalsRowDxfId="350"/>
    <tableColumn id="7" xr3:uid="{00000000-0010-0000-0700-000007000000}" name="6" totalsRowFunction="count" dataDxfId="349" totalsRowDxfId="348"/>
    <tableColumn id="8" xr3:uid="{00000000-0010-0000-0700-000008000000}" name="7" totalsRowFunction="count" dataDxfId="347" totalsRowDxfId="346"/>
    <tableColumn id="9" xr3:uid="{00000000-0010-0000-0700-000009000000}" name="8" totalsRowFunction="count" dataDxfId="345" totalsRowDxfId="344"/>
    <tableColumn id="10" xr3:uid="{00000000-0010-0000-0700-00000A000000}" name="9" totalsRowFunction="count" dataDxfId="343" totalsRowDxfId="342"/>
    <tableColumn id="11" xr3:uid="{00000000-0010-0000-0700-00000B000000}" name="10" totalsRowFunction="count" dataDxfId="341" totalsRowDxfId="340"/>
    <tableColumn id="12" xr3:uid="{00000000-0010-0000-0700-00000C000000}" name="11" totalsRowFunction="count" dataDxfId="339" totalsRowDxfId="338"/>
    <tableColumn id="13" xr3:uid="{00000000-0010-0000-0700-00000D000000}" name="12" totalsRowFunction="count" dataDxfId="337" totalsRowDxfId="336"/>
    <tableColumn id="14" xr3:uid="{00000000-0010-0000-0700-00000E000000}" name="13" totalsRowFunction="count" dataDxfId="335" totalsRowDxfId="334"/>
    <tableColumn id="15" xr3:uid="{00000000-0010-0000-0700-00000F000000}" name="14" totalsRowFunction="count" dataDxfId="333" totalsRowDxfId="332"/>
    <tableColumn id="16" xr3:uid="{00000000-0010-0000-0700-000010000000}" name="15" totalsRowFunction="count" dataDxfId="331" totalsRowDxfId="330"/>
    <tableColumn id="17" xr3:uid="{00000000-0010-0000-0700-000011000000}" name="16" totalsRowFunction="count" dataDxfId="329" totalsRowDxfId="328"/>
    <tableColumn id="18" xr3:uid="{00000000-0010-0000-0700-000012000000}" name="17" totalsRowFunction="count" dataDxfId="327" totalsRowDxfId="326"/>
    <tableColumn id="19" xr3:uid="{00000000-0010-0000-0700-000013000000}" name="18" totalsRowFunction="count" dataDxfId="325" totalsRowDxfId="324"/>
    <tableColumn id="20" xr3:uid="{00000000-0010-0000-0700-000014000000}" name="19" totalsRowFunction="count" dataDxfId="323" totalsRowDxfId="322"/>
    <tableColumn id="21" xr3:uid="{00000000-0010-0000-0700-000015000000}" name="20" totalsRowFunction="count" dataDxfId="321" totalsRowDxfId="320"/>
    <tableColumn id="22" xr3:uid="{00000000-0010-0000-0700-000016000000}" name="21" totalsRowFunction="count" dataDxfId="319" totalsRowDxfId="318"/>
    <tableColumn id="23" xr3:uid="{00000000-0010-0000-0700-000017000000}" name="22" totalsRowFunction="count" dataDxfId="317" totalsRowDxfId="316"/>
    <tableColumn id="24" xr3:uid="{00000000-0010-0000-0700-000018000000}" name="23" totalsRowFunction="count" dataDxfId="315" totalsRowDxfId="314"/>
    <tableColumn id="25" xr3:uid="{00000000-0010-0000-0700-000019000000}" name="24" totalsRowFunction="count" dataDxfId="313" totalsRowDxfId="312"/>
    <tableColumn id="26" xr3:uid="{00000000-0010-0000-0700-00001A000000}" name="25" totalsRowFunction="count" dataDxfId="311" totalsRowDxfId="310"/>
    <tableColumn id="27" xr3:uid="{00000000-0010-0000-0700-00001B000000}" name="26" totalsRowFunction="count" dataDxfId="309" totalsRowDxfId="308"/>
    <tableColumn id="28" xr3:uid="{00000000-0010-0000-0700-00001C000000}" name="27" totalsRowFunction="count" dataDxfId="307" totalsRowDxfId="306"/>
    <tableColumn id="29" xr3:uid="{00000000-0010-0000-0700-00001D000000}" name="28" totalsRowFunction="count" dataDxfId="305" totalsRowDxfId="304"/>
    <tableColumn id="30" xr3:uid="{00000000-0010-0000-0700-00001E000000}" name="29" totalsRowFunction="count" dataDxfId="303" totalsRowDxfId="302"/>
    <tableColumn id="31" xr3:uid="{00000000-0010-0000-0700-00001F000000}" name="30" totalsRowFunction="sum" dataDxfId="301" totalsRowDxfId="300"/>
    <tableColumn id="32" xr3:uid="{00000000-0010-0000-0700-000020000000}" name="31" totalsRowFunction="sum" dataDxfId="299" totalsRowDxfId="298" dataCellStyle="Total"/>
    <tableColumn id="33" xr3:uid="{00000000-0010-0000-0700-000021000000}" name="Total Days" totalsRowFunction="sum" dataDxfId="297" totalsRowDxfId="296" dataCellStyle="Total">
      <calculatedColumnFormula>COUNTA(August[[#This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er" displayName="September" ref="B6:AH12" totalsRowCount="1" headerRowDxfId="290" dataDxfId="289" totalsRowDxfId="288">
  <tableColumns count="33">
    <tableColumn id="1" xr3:uid="{00000000-0010-0000-0800-000001000000}" name="Employee Name" totalsRowFunction="custom" dataDxfId="287" totalsRowDxfId="286" dataCellStyle="Employee">
      <totalsRowFormula>MonthName&amp;" Total"</totalsRowFormula>
    </tableColumn>
    <tableColumn id="2" xr3:uid="{00000000-0010-0000-0800-000002000000}" name="1" totalsRowFunction="count" dataDxfId="285" totalsRowDxfId="284"/>
    <tableColumn id="3" xr3:uid="{00000000-0010-0000-0800-000003000000}" name="2" totalsRowFunction="count" dataDxfId="283" totalsRowDxfId="282"/>
    <tableColumn id="4" xr3:uid="{00000000-0010-0000-0800-000004000000}" name="3" totalsRowFunction="count" dataDxfId="281" totalsRowDxfId="280"/>
    <tableColumn id="5" xr3:uid="{00000000-0010-0000-0800-000005000000}" name="4" totalsRowFunction="count" dataDxfId="279" totalsRowDxfId="278"/>
    <tableColumn id="6" xr3:uid="{00000000-0010-0000-0800-000006000000}" name="5" totalsRowFunction="count" dataDxfId="277" totalsRowDxfId="276"/>
    <tableColumn id="7" xr3:uid="{00000000-0010-0000-0800-000007000000}" name="6" totalsRowFunction="count" dataDxfId="275" totalsRowDxfId="274"/>
    <tableColumn id="8" xr3:uid="{00000000-0010-0000-0800-000008000000}" name="7" totalsRowFunction="count" dataDxfId="273" totalsRowDxfId="272"/>
    <tableColumn id="9" xr3:uid="{00000000-0010-0000-0800-000009000000}" name="8" totalsRowFunction="count" dataDxfId="271" totalsRowDxfId="270"/>
    <tableColumn id="10" xr3:uid="{00000000-0010-0000-0800-00000A000000}" name="9" totalsRowFunction="count" dataDxfId="269" totalsRowDxfId="268"/>
    <tableColumn id="11" xr3:uid="{00000000-0010-0000-0800-00000B000000}" name="10" totalsRowFunction="count" dataDxfId="267" totalsRowDxfId="266"/>
    <tableColumn id="12" xr3:uid="{00000000-0010-0000-0800-00000C000000}" name="11" totalsRowFunction="count" dataDxfId="265" totalsRowDxfId="264"/>
    <tableColumn id="13" xr3:uid="{00000000-0010-0000-0800-00000D000000}" name="12" totalsRowFunction="count" dataDxfId="263" totalsRowDxfId="262"/>
    <tableColumn id="14" xr3:uid="{00000000-0010-0000-0800-00000E000000}" name="13" totalsRowFunction="count" dataDxfId="261" totalsRowDxfId="260"/>
    <tableColumn id="15" xr3:uid="{00000000-0010-0000-0800-00000F000000}" name="14" totalsRowFunction="count" dataDxfId="259" totalsRowDxfId="258"/>
    <tableColumn id="16" xr3:uid="{00000000-0010-0000-0800-000010000000}" name="15" totalsRowFunction="count" dataDxfId="257" totalsRowDxfId="256"/>
    <tableColumn id="17" xr3:uid="{00000000-0010-0000-0800-000011000000}" name="16" totalsRowFunction="count" dataDxfId="255" totalsRowDxfId="254"/>
    <tableColumn id="18" xr3:uid="{00000000-0010-0000-0800-000012000000}" name="17" totalsRowFunction="count" dataDxfId="253" totalsRowDxfId="252"/>
    <tableColumn id="19" xr3:uid="{00000000-0010-0000-0800-000013000000}" name="18" totalsRowFunction="count" dataDxfId="251" totalsRowDxfId="250"/>
    <tableColumn id="20" xr3:uid="{00000000-0010-0000-0800-000014000000}" name="19" totalsRowFunction="count" dataDxfId="249" totalsRowDxfId="248"/>
    <tableColumn id="21" xr3:uid="{00000000-0010-0000-0800-000015000000}" name="20" totalsRowFunction="count" dataDxfId="247" totalsRowDxfId="246"/>
    <tableColumn id="22" xr3:uid="{00000000-0010-0000-0800-000016000000}" name="21" totalsRowFunction="count" dataDxfId="245" totalsRowDxfId="244"/>
    <tableColumn id="23" xr3:uid="{00000000-0010-0000-0800-000017000000}" name="22" totalsRowFunction="count" dataDxfId="243" totalsRowDxfId="242"/>
    <tableColumn id="24" xr3:uid="{00000000-0010-0000-0800-000018000000}" name="23" totalsRowFunction="count" dataDxfId="241" totalsRowDxfId="240"/>
    <tableColumn id="25" xr3:uid="{00000000-0010-0000-0800-000019000000}" name="24" totalsRowFunction="count" dataDxfId="239" totalsRowDxfId="238"/>
    <tableColumn id="26" xr3:uid="{00000000-0010-0000-0800-00001A000000}" name="25" totalsRowFunction="count" dataDxfId="237" totalsRowDxfId="236"/>
    <tableColumn id="27" xr3:uid="{00000000-0010-0000-0800-00001B000000}" name="26" totalsRowFunction="count" dataDxfId="235" totalsRowDxfId="234"/>
    <tableColumn id="28" xr3:uid="{00000000-0010-0000-0800-00001C000000}" name="27" totalsRowFunction="count" dataDxfId="233" totalsRowDxfId="232"/>
    <tableColumn id="29" xr3:uid="{00000000-0010-0000-0800-00001D000000}" name="28" totalsRowFunction="count" dataDxfId="231" totalsRowDxfId="230"/>
    <tableColumn id="30" xr3:uid="{00000000-0010-0000-0800-00001E000000}" name="29" totalsRowFunction="count" dataDxfId="229" totalsRowDxfId="228"/>
    <tableColumn id="31" xr3:uid="{00000000-0010-0000-0800-00001F000000}" name="30" totalsRowFunction="sum" dataDxfId="227" totalsRowDxfId="226"/>
    <tableColumn id="32" xr3:uid="{00000000-0010-0000-0800-000020000000}" name="31" totalsRowFunction="sum" dataDxfId="225" totalsRowDxfId="224" dataCellStyle="Total"/>
    <tableColumn id="33" xr3:uid="{00000000-0010-0000-0800-000021000000}" name="Total Days" totalsRowFunction="sum" dataDxfId="223" totalsRowDxfId="222" dataCellStyle="Total">
      <calculatedColumnFormula>COUNTA(September[[#This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pageSetUpPr fitToPage="1"/>
  </sheetPr>
  <dimension ref="A1:AL22"/>
  <sheetViews>
    <sheetView showGridLines="0" tabSelected="1" zoomScaleNormal="100" workbookViewId="0">
      <selection activeCell="F9" sqref="F9"/>
    </sheetView>
  </sheetViews>
  <sheetFormatPr defaultRowHeight="30" customHeight="1" x14ac:dyDescent="0.25"/>
  <cols>
    <col min="1" max="1" width="2.7109375" style="10" customWidth="1"/>
    <col min="2" max="2" width="25.7109375" style="10" customWidth="1"/>
    <col min="3" max="3" width="5.5703125" style="10" customWidth="1"/>
    <col min="4" max="4" width="6" style="10" customWidth="1"/>
    <col min="5" max="5" width="5.85546875" style="10" customWidth="1"/>
    <col min="6" max="6" width="7.28515625" style="10" customWidth="1"/>
    <col min="7" max="7" width="6" style="10" customWidth="1"/>
    <col min="8" max="8" width="6.85546875" style="10" customWidth="1"/>
    <col min="9" max="9" width="5.28515625" style="10" customWidth="1"/>
    <col min="10" max="10" width="6.85546875" style="10" customWidth="1"/>
    <col min="11" max="11" width="4.7109375" style="10" customWidth="1"/>
    <col min="12" max="12" width="7" style="10" customWidth="1"/>
    <col min="13" max="13" width="5.5703125" style="10" customWidth="1"/>
    <col min="14" max="14" width="6.28515625" style="10" customWidth="1"/>
    <col min="15" max="15" width="5.7109375" style="10" customWidth="1"/>
    <col min="16" max="16" width="6.5703125" style="10" customWidth="1"/>
    <col min="17" max="17" width="4.7109375" style="10" customWidth="1"/>
    <col min="18" max="18" width="6.42578125" style="10" customWidth="1"/>
    <col min="19" max="20" width="5.28515625" style="10" customWidth="1"/>
    <col min="21" max="21" width="5.5703125" style="10" customWidth="1"/>
    <col min="22" max="22" width="5.85546875" style="10" customWidth="1"/>
    <col min="23" max="23" width="5.7109375" style="10" customWidth="1"/>
    <col min="24" max="24" width="6" style="10" customWidth="1"/>
    <col min="25" max="25" width="4.7109375" style="10" customWidth="1"/>
    <col min="26" max="26" width="5.140625" style="10" customWidth="1"/>
    <col min="27" max="27" width="6.5703125" style="10" customWidth="1"/>
    <col min="28" max="29" width="7" style="10" customWidth="1"/>
    <col min="30" max="30" width="6.42578125" style="10" customWidth="1"/>
    <col min="31" max="31" width="5.5703125" style="10" customWidth="1"/>
    <col min="32" max="32" width="4.85546875" style="10" customWidth="1"/>
    <col min="33" max="33" width="4.7109375" style="10" customWidth="1"/>
    <col min="34" max="34" width="13.5703125" style="10" customWidth="1"/>
    <col min="35" max="35" width="2.7109375" customWidth="1"/>
  </cols>
  <sheetData>
    <row r="1" spans="1:38" ht="50.1" customHeight="1" x14ac:dyDescent="0.25">
      <c r="A1" s="17"/>
      <c r="B1" s="21" t="s">
        <v>64</v>
      </c>
      <c r="C1" s="22"/>
      <c r="D1" s="22"/>
      <c r="E1" s="22"/>
      <c r="F1" s="22"/>
      <c r="G1" s="22"/>
      <c r="H1" s="22"/>
      <c r="I1" s="22"/>
      <c r="J1" s="22"/>
    </row>
    <row r="2" spans="1:38" ht="22.5" customHeight="1" x14ac:dyDescent="0.25">
      <c r="B2" s="40" t="s">
        <v>62</v>
      </c>
      <c r="C2" s="41" t="s">
        <v>36</v>
      </c>
      <c r="D2" s="47" t="s">
        <v>42</v>
      </c>
      <c r="E2" s="47"/>
      <c r="F2" s="47"/>
      <c r="G2" s="42" t="s">
        <v>40</v>
      </c>
      <c r="H2" s="47" t="s">
        <v>43</v>
      </c>
      <c r="I2" s="47"/>
      <c r="J2" s="47"/>
      <c r="K2" s="43" t="s">
        <v>35</v>
      </c>
      <c r="L2" s="47" t="s">
        <v>44</v>
      </c>
      <c r="M2" s="47"/>
      <c r="N2" s="44"/>
      <c r="O2" s="47" t="s">
        <v>45</v>
      </c>
      <c r="P2" s="47"/>
      <c r="Q2" s="47"/>
      <c r="R2" s="45"/>
      <c r="S2" s="47" t="s">
        <v>46</v>
      </c>
      <c r="T2" s="47"/>
      <c r="U2" s="47"/>
      <c r="V2" s="26"/>
      <c r="W2" s="23"/>
      <c r="X2" s="23"/>
      <c r="Y2" s="23"/>
      <c r="Z2" s="23"/>
      <c r="AA2" s="23"/>
      <c r="AB2" s="23"/>
      <c r="AC2" s="23"/>
      <c r="AD2" s="23"/>
      <c r="AE2" s="23"/>
      <c r="AF2" s="23"/>
      <c r="AG2" s="23"/>
      <c r="AH2" s="23"/>
      <c r="AI2" s="24"/>
      <c r="AJ2" s="24"/>
      <c r="AK2" s="24"/>
      <c r="AL2" s="24"/>
    </row>
    <row r="3" spans="1:38" ht="15" customHeight="1" x14ac:dyDescent="0.4">
      <c r="B3" s="46"/>
      <c r="C3" s="46"/>
      <c r="D3" s="46"/>
      <c r="E3" s="46"/>
      <c r="F3" s="46"/>
      <c r="G3" s="46"/>
      <c r="H3" s="46"/>
      <c r="I3" s="46"/>
      <c r="J3" s="46"/>
      <c r="K3" s="46"/>
      <c r="L3" s="46"/>
      <c r="M3" s="46"/>
      <c r="N3" s="46"/>
      <c r="O3" s="46"/>
      <c r="P3" s="46"/>
      <c r="Q3" s="46"/>
      <c r="R3" s="46"/>
      <c r="S3" s="46"/>
      <c r="T3" s="46"/>
      <c r="U3" s="46"/>
      <c r="V3" s="23"/>
      <c r="W3" s="23"/>
      <c r="X3" s="23"/>
      <c r="Y3" s="23"/>
      <c r="Z3" s="23"/>
      <c r="AA3" s="23"/>
      <c r="AB3" s="23"/>
      <c r="AC3" s="23"/>
      <c r="AD3" s="23"/>
      <c r="AE3" s="23"/>
      <c r="AF3" s="23"/>
      <c r="AG3" s="23"/>
      <c r="AH3" s="25" t="s">
        <v>61</v>
      </c>
      <c r="AI3" s="24"/>
      <c r="AJ3" s="24"/>
      <c r="AK3" s="24"/>
      <c r="AL3" s="24"/>
    </row>
    <row r="4" spans="1:38" ht="30" customHeight="1" x14ac:dyDescent="0.25">
      <c r="B4" s="50" t="s">
        <v>41</v>
      </c>
      <c r="C4" s="51" t="s">
        <v>0</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0">
        <v>2016</v>
      </c>
      <c r="AI4" s="24"/>
      <c r="AJ4" s="24"/>
      <c r="AK4" s="24"/>
      <c r="AL4" s="24"/>
    </row>
    <row r="5" spans="1:38" ht="16.5" customHeight="1" x14ac:dyDescent="0.25">
      <c r="B5" s="27"/>
      <c r="C5" s="28" t="str">
        <f>TEXT(WEEKDAY(DATE(CalendarYear,1,1),1),"aaa")</f>
        <v>Fri</v>
      </c>
      <c r="D5" s="28" t="str">
        <f>TEXT(WEEKDAY(DATE(CalendarYear,1,2),1),"aaa")</f>
        <v>Sat</v>
      </c>
      <c r="E5" s="28" t="str">
        <f>TEXT(WEEKDAY(DATE(CalendarYear,1,3),1),"aaa")</f>
        <v>Sun</v>
      </c>
      <c r="F5" s="28" t="str">
        <f>TEXT(WEEKDAY(DATE(CalendarYear,1,4),1),"aaa")</f>
        <v>Mon</v>
      </c>
      <c r="G5" s="28" t="str">
        <f>TEXT(WEEKDAY(DATE(CalendarYear,1,5),1),"aaa")</f>
        <v>Tue</v>
      </c>
      <c r="H5" s="28" t="str">
        <f>TEXT(WEEKDAY(DATE(CalendarYear,1,6),1),"aaa")</f>
        <v>Wed</v>
      </c>
      <c r="I5" s="28" t="str">
        <f>TEXT(WEEKDAY(DATE(CalendarYear,1,7),1),"aaa")</f>
        <v>Thu</v>
      </c>
      <c r="J5" s="28" t="str">
        <f>TEXT(WEEKDAY(DATE(CalendarYear,1,8),1),"aaa")</f>
        <v>Fri</v>
      </c>
      <c r="K5" s="28" t="str">
        <f>TEXT(WEEKDAY(DATE(CalendarYear,1,9),1),"aaa")</f>
        <v>Sat</v>
      </c>
      <c r="L5" s="28" t="str">
        <f>TEXT(WEEKDAY(DATE(CalendarYear,1,10),1),"aaa")</f>
        <v>Sun</v>
      </c>
      <c r="M5" s="28" t="str">
        <f>TEXT(WEEKDAY(DATE(CalendarYear,1,11),1),"aaa")</f>
        <v>Mon</v>
      </c>
      <c r="N5" s="28" t="str">
        <f>TEXT(WEEKDAY(DATE(CalendarYear,1,12),1),"aaa")</f>
        <v>Tue</v>
      </c>
      <c r="O5" s="28" t="str">
        <f>TEXT(WEEKDAY(DATE(CalendarYear,1,13),1),"aaa")</f>
        <v>Wed</v>
      </c>
      <c r="P5" s="28" t="str">
        <f>TEXT(WEEKDAY(DATE(CalendarYear,1,14),1),"aaa")</f>
        <v>Thu</v>
      </c>
      <c r="Q5" s="28" t="str">
        <f>TEXT(WEEKDAY(DATE(CalendarYear,1,15),1),"aaa")</f>
        <v>Fri</v>
      </c>
      <c r="R5" s="28" t="str">
        <f>TEXT(WEEKDAY(DATE(CalendarYear,1,16),1),"aaa")</f>
        <v>Sat</v>
      </c>
      <c r="S5" s="28" t="str">
        <f>TEXT(WEEKDAY(DATE(CalendarYear,1,17),1),"aaa")</f>
        <v>Sun</v>
      </c>
      <c r="T5" s="28" t="str">
        <f>TEXT(WEEKDAY(DATE(CalendarYear,1,18),1),"aaa")</f>
        <v>Mon</v>
      </c>
      <c r="U5" s="28" t="str">
        <f>TEXT(WEEKDAY(DATE(CalendarYear,1,19),1),"aaa")</f>
        <v>Tue</v>
      </c>
      <c r="V5" s="28" t="str">
        <f>TEXT(WEEKDAY(DATE(CalendarYear,1,20),1),"aaa")</f>
        <v>Wed</v>
      </c>
      <c r="W5" s="28" t="str">
        <f>TEXT(WEEKDAY(DATE(CalendarYear,1,21),1),"aaa")</f>
        <v>Thu</v>
      </c>
      <c r="X5" s="28" t="str">
        <f>TEXT(WEEKDAY(DATE(CalendarYear,1,22),1),"aaa")</f>
        <v>Fri</v>
      </c>
      <c r="Y5" s="28" t="str">
        <f>TEXT(WEEKDAY(DATE(CalendarYear,1,23),1),"aaa")</f>
        <v>Sat</v>
      </c>
      <c r="Z5" s="28" t="str">
        <f>TEXT(WEEKDAY(DATE(CalendarYear,1,24),1),"aaa")</f>
        <v>Sun</v>
      </c>
      <c r="AA5" s="28" t="str">
        <f>TEXT(WEEKDAY(DATE(CalendarYear,1,25),1),"aaa")</f>
        <v>Mon</v>
      </c>
      <c r="AB5" s="28" t="str">
        <f>TEXT(WEEKDAY(DATE(CalendarYear,1,26),1),"aaa")</f>
        <v>Tue</v>
      </c>
      <c r="AC5" s="28" t="str">
        <f>TEXT(WEEKDAY(DATE(CalendarYear,1,27),1),"aaa")</f>
        <v>Wed</v>
      </c>
      <c r="AD5" s="28" t="str">
        <f>TEXT(WEEKDAY(DATE(CalendarYear,1,28),1),"aaa")</f>
        <v>Thu</v>
      </c>
      <c r="AE5" s="28" t="str">
        <f>TEXT(WEEKDAY(DATE(CalendarYear,1,29),1),"aaa")</f>
        <v>Fri</v>
      </c>
      <c r="AF5" s="28" t="str">
        <f>TEXT(WEEKDAY(DATE(CalendarYear,1,30),1),"aaa")</f>
        <v>Sat</v>
      </c>
      <c r="AG5" s="28" t="str">
        <f>TEXT(WEEKDAY(DATE(CalendarYear,1,31),1),"aaa")</f>
        <v>Sun</v>
      </c>
      <c r="AH5" s="27"/>
      <c r="AI5" s="24"/>
      <c r="AJ5" s="24"/>
      <c r="AK5" s="24"/>
      <c r="AL5" s="24"/>
    </row>
    <row r="6" spans="1:38" ht="26.25" customHeight="1" x14ac:dyDescent="0.25">
      <c r="B6" s="29" t="s">
        <v>1</v>
      </c>
      <c r="C6" s="30" t="s">
        <v>2</v>
      </c>
      <c r="D6" s="30" t="s">
        <v>3</v>
      </c>
      <c r="E6" s="30" t="s">
        <v>4</v>
      </c>
      <c r="F6" s="30" t="s">
        <v>5</v>
      </c>
      <c r="G6" s="30" t="s">
        <v>6</v>
      </c>
      <c r="H6" s="30" t="s">
        <v>7</v>
      </c>
      <c r="I6" s="30" t="s">
        <v>8</v>
      </c>
      <c r="J6" s="30" t="s">
        <v>9</v>
      </c>
      <c r="K6" s="30" t="s">
        <v>10</v>
      </c>
      <c r="L6" s="30" t="s">
        <v>11</v>
      </c>
      <c r="M6" s="30" t="s">
        <v>12</v>
      </c>
      <c r="N6" s="30" t="s">
        <v>13</v>
      </c>
      <c r="O6" s="30" t="s">
        <v>14</v>
      </c>
      <c r="P6" s="30" t="s">
        <v>15</v>
      </c>
      <c r="Q6" s="30" t="s">
        <v>16</v>
      </c>
      <c r="R6" s="30" t="s">
        <v>17</v>
      </c>
      <c r="S6" s="30" t="s">
        <v>18</v>
      </c>
      <c r="T6" s="30" t="s">
        <v>19</v>
      </c>
      <c r="U6" s="30" t="s">
        <v>20</v>
      </c>
      <c r="V6" s="30" t="s">
        <v>21</v>
      </c>
      <c r="W6" s="30" t="s">
        <v>22</v>
      </c>
      <c r="X6" s="30" t="s">
        <v>23</v>
      </c>
      <c r="Y6" s="30" t="s">
        <v>24</v>
      </c>
      <c r="Z6" s="30" t="s">
        <v>25</v>
      </c>
      <c r="AA6" s="30" t="s">
        <v>26</v>
      </c>
      <c r="AB6" s="30" t="s">
        <v>27</v>
      </c>
      <c r="AC6" s="30" t="s">
        <v>28</v>
      </c>
      <c r="AD6" s="30" t="s">
        <v>29</v>
      </c>
      <c r="AE6" s="30" t="s">
        <v>30</v>
      </c>
      <c r="AF6" s="30" t="s">
        <v>31</v>
      </c>
      <c r="AG6" s="30" t="s">
        <v>32</v>
      </c>
      <c r="AH6" s="31" t="s">
        <v>33</v>
      </c>
      <c r="AI6" s="24"/>
      <c r="AJ6" s="24"/>
      <c r="AK6" s="24"/>
      <c r="AL6" s="24"/>
    </row>
    <row r="7" spans="1:38" ht="30" customHeight="1" x14ac:dyDescent="0.25">
      <c r="B7" s="32" t="s">
        <v>34</v>
      </c>
      <c r="C7" s="33"/>
      <c r="D7" s="33"/>
      <c r="E7" s="33" t="s">
        <v>36</v>
      </c>
      <c r="F7" s="33" t="s">
        <v>36</v>
      </c>
      <c r="G7" s="33" t="s">
        <v>36</v>
      </c>
      <c r="H7" s="33" t="s">
        <v>36</v>
      </c>
      <c r="I7" s="33"/>
      <c r="J7" s="33"/>
      <c r="K7" s="33"/>
      <c r="L7" s="33"/>
      <c r="M7" s="33"/>
      <c r="N7" s="33"/>
      <c r="O7" s="33" t="s">
        <v>36</v>
      </c>
      <c r="P7" s="33"/>
      <c r="Q7" s="33"/>
      <c r="R7" s="33"/>
      <c r="S7" s="33"/>
      <c r="T7" s="33"/>
      <c r="U7" s="33"/>
      <c r="V7" s="33"/>
      <c r="W7" s="33"/>
      <c r="X7" s="33"/>
      <c r="Y7" s="33"/>
      <c r="Z7" s="33"/>
      <c r="AA7" s="33"/>
      <c r="AB7" s="33"/>
      <c r="AC7" s="33"/>
      <c r="AD7" s="33"/>
      <c r="AE7" s="33"/>
      <c r="AF7" s="33"/>
      <c r="AG7" s="33"/>
      <c r="AH7" s="34">
        <f>COUNTA(January!$C7:$AG7)</f>
        <v>5</v>
      </c>
      <c r="AI7" s="24"/>
      <c r="AJ7" s="24"/>
      <c r="AK7" s="24"/>
      <c r="AL7" s="24"/>
    </row>
    <row r="8" spans="1:38" ht="30" customHeight="1" x14ac:dyDescent="0.25">
      <c r="B8" s="32" t="s">
        <v>37</v>
      </c>
      <c r="C8" s="33"/>
      <c r="D8" s="33"/>
      <c r="E8" s="33"/>
      <c r="F8" s="33"/>
      <c r="G8" s="33" t="s">
        <v>35</v>
      </c>
      <c r="H8" s="33" t="s">
        <v>35</v>
      </c>
      <c r="I8" s="33"/>
      <c r="J8" s="33"/>
      <c r="K8" s="33"/>
      <c r="L8" s="33"/>
      <c r="M8" s="33" t="s">
        <v>40</v>
      </c>
      <c r="N8" s="33"/>
      <c r="O8" s="33"/>
      <c r="P8" s="33"/>
      <c r="Q8" s="33"/>
      <c r="R8" s="33"/>
      <c r="S8" s="33"/>
      <c r="T8" s="33"/>
      <c r="U8" s="33"/>
      <c r="V8" s="33" t="s">
        <v>35</v>
      </c>
      <c r="W8" s="33"/>
      <c r="X8" s="33"/>
      <c r="Y8" s="33"/>
      <c r="Z8" s="33"/>
      <c r="AA8" s="33" t="s">
        <v>36</v>
      </c>
      <c r="AB8" s="33" t="s">
        <v>36</v>
      </c>
      <c r="AC8" s="33" t="s">
        <v>36</v>
      </c>
      <c r="AD8" s="33"/>
      <c r="AE8" s="33"/>
      <c r="AF8" s="33"/>
      <c r="AG8" s="33"/>
      <c r="AH8" s="34">
        <f>COUNTA(January!$C8:$AG8)</f>
        <v>7</v>
      </c>
      <c r="AI8" s="24"/>
      <c r="AJ8" s="24"/>
      <c r="AK8" s="24"/>
      <c r="AL8" s="24"/>
    </row>
    <row r="9" spans="1:38" ht="30" customHeight="1" x14ac:dyDescent="0.25">
      <c r="B9" s="32" t="s">
        <v>48</v>
      </c>
      <c r="C9" s="33"/>
      <c r="D9" s="33"/>
      <c r="E9" s="33" t="s">
        <v>40</v>
      </c>
      <c r="F9" s="33"/>
      <c r="G9" s="33"/>
      <c r="H9" s="33"/>
      <c r="I9" s="33"/>
      <c r="J9" s="33"/>
      <c r="K9" s="33"/>
      <c r="L9" s="33"/>
      <c r="M9" s="33"/>
      <c r="N9" s="33"/>
      <c r="O9" s="33"/>
      <c r="P9" s="33" t="s">
        <v>35</v>
      </c>
      <c r="Q9" s="33"/>
      <c r="R9" s="33"/>
      <c r="S9" s="33"/>
      <c r="T9" s="33"/>
      <c r="U9" s="33"/>
      <c r="V9" s="33"/>
      <c r="W9" s="33"/>
      <c r="X9" s="33"/>
      <c r="Y9" s="33"/>
      <c r="Z9" s="33"/>
      <c r="AA9" s="33"/>
      <c r="AB9" s="33"/>
      <c r="AC9" s="33"/>
      <c r="AD9" s="33"/>
      <c r="AE9" s="33" t="s">
        <v>35</v>
      </c>
      <c r="AF9" s="33"/>
      <c r="AG9" s="33"/>
      <c r="AH9" s="34">
        <f>COUNTA(January!$C9:$AG9)</f>
        <v>3</v>
      </c>
      <c r="AI9" s="24"/>
      <c r="AJ9" s="24"/>
      <c r="AK9" s="24"/>
      <c r="AL9" s="24"/>
    </row>
    <row r="10" spans="1:38" ht="30" customHeight="1" x14ac:dyDescent="0.25">
      <c r="B10" s="32" t="s">
        <v>49</v>
      </c>
      <c r="C10" s="33"/>
      <c r="D10" s="33"/>
      <c r="E10" s="33"/>
      <c r="F10" s="33"/>
      <c r="G10" s="33"/>
      <c r="H10" s="33"/>
      <c r="I10" s="33" t="s">
        <v>40</v>
      </c>
      <c r="J10" s="33"/>
      <c r="K10" s="33"/>
      <c r="L10" s="33"/>
      <c r="M10" s="33"/>
      <c r="N10" s="33"/>
      <c r="O10" s="33"/>
      <c r="P10" s="33"/>
      <c r="Q10" s="33"/>
      <c r="R10" s="33"/>
      <c r="S10" s="33"/>
      <c r="T10" s="33"/>
      <c r="U10" s="33" t="s">
        <v>36</v>
      </c>
      <c r="V10" s="33" t="s">
        <v>36</v>
      </c>
      <c r="W10" s="33" t="s">
        <v>36</v>
      </c>
      <c r="X10" s="33"/>
      <c r="Y10" s="33"/>
      <c r="Z10" s="33"/>
      <c r="AA10" s="33"/>
      <c r="AB10" s="33"/>
      <c r="AC10" s="33"/>
      <c r="AD10" s="33"/>
      <c r="AE10" s="33"/>
      <c r="AF10" s="33"/>
      <c r="AG10" s="33"/>
      <c r="AH10" s="34">
        <f>COUNTA(January!$C10:$AG10)</f>
        <v>4</v>
      </c>
      <c r="AI10" s="24"/>
      <c r="AJ10" s="24"/>
      <c r="AK10" s="24"/>
      <c r="AL10" s="24"/>
    </row>
    <row r="11" spans="1:38" ht="30" customHeight="1" x14ac:dyDescent="0.25">
      <c r="B11" s="32" t="s">
        <v>50</v>
      </c>
      <c r="C11" s="33"/>
      <c r="D11" s="33"/>
      <c r="E11" s="33"/>
      <c r="F11" s="33" t="s">
        <v>35</v>
      </c>
      <c r="G11" s="33" t="s">
        <v>36</v>
      </c>
      <c r="H11" s="33" t="s">
        <v>36</v>
      </c>
      <c r="I11" s="33"/>
      <c r="J11" s="33"/>
      <c r="K11" s="33"/>
      <c r="L11" s="33"/>
      <c r="M11" s="33"/>
      <c r="N11" s="33"/>
      <c r="O11" s="33"/>
      <c r="P11" s="33"/>
      <c r="Q11" s="33"/>
      <c r="R11" s="33"/>
      <c r="S11" s="33" t="s">
        <v>35</v>
      </c>
      <c r="T11" s="33"/>
      <c r="U11" s="33"/>
      <c r="V11" s="33"/>
      <c r="W11" s="33"/>
      <c r="X11" s="33"/>
      <c r="Y11" s="33"/>
      <c r="Z11" s="33" t="s">
        <v>35</v>
      </c>
      <c r="AA11" s="33"/>
      <c r="AB11" s="33"/>
      <c r="AC11" s="33"/>
      <c r="AD11" s="33"/>
      <c r="AE11" s="33"/>
      <c r="AF11" s="33"/>
      <c r="AG11" s="33" t="s">
        <v>36</v>
      </c>
      <c r="AH11" s="34">
        <f>COUNTA(January!$C11:$AG11)</f>
        <v>6</v>
      </c>
      <c r="AI11" s="24"/>
      <c r="AJ11" s="24"/>
      <c r="AK11" s="24"/>
      <c r="AL11" s="24"/>
    </row>
    <row r="12" spans="1:38" ht="30" customHeight="1" x14ac:dyDescent="0.25">
      <c r="B12" s="35" t="str">
        <f>MonthName&amp;" Total"</f>
        <v>January Total</v>
      </c>
      <c r="C12" s="36">
        <f>SUBTOTAL(103,January!$C$7:$C$11)</f>
        <v>0</v>
      </c>
      <c r="D12" s="36">
        <f>SUBTOTAL(103,January!$D$7:$D$11)</f>
        <v>0</v>
      </c>
      <c r="E12" s="36">
        <f>SUBTOTAL(103,January!$E$7:$E$11)</f>
        <v>2</v>
      </c>
      <c r="F12" s="36">
        <f>SUBTOTAL(103,January!$F$7:$F$11)</f>
        <v>2</v>
      </c>
      <c r="G12" s="36">
        <f>SUBTOTAL(103,January!$G$7:$G$11)</f>
        <v>3</v>
      </c>
      <c r="H12" s="36">
        <f>SUBTOTAL(103,January!$H$7:$H$11)</f>
        <v>3</v>
      </c>
      <c r="I12" s="36">
        <f>SUBTOTAL(103,January!$I$7:$I$11)</f>
        <v>1</v>
      </c>
      <c r="J12" s="36">
        <f>SUBTOTAL(103,January!$J$7:$J$11)</f>
        <v>0</v>
      </c>
      <c r="K12" s="36">
        <f>SUBTOTAL(103,January!$K$7:$K$11)</f>
        <v>0</v>
      </c>
      <c r="L12" s="36">
        <f>SUBTOTAL(103,January!$L$7:$L$11)</f>
        <v>0</v>
      </c>
      <c r="M12" s="36">
        <f>SUBTOTAL(103,January!$M$7:$M$11)</f>
        <v>1</v>
      </c>
      <c r="N12" s="36">
        <f>SUBTOTAL(103,January!$N$7:$N$11)</f>
        <v>0</v>
      </c>
      <c r="O12" s="36">
        <f>SUBTOTAL(103,January!$O$7:$O$11)</f>
        <v>1</v>
      </c>
      <c r="P12" s="36">
        <f>SUBTOTAL(103,January!$P$7:$P$11)</f>
        <v>1</v>
      </c>
      <c r="Q12" s="36">
        <f>SUBTOTAL(103,January!$Q$7:$Q$11)</f>
        <v>0</v>
      </c>
      <c r="R12" s="36">
        <f>SUBTOTAL(103,January!$R$7:$R$11)</f>
        <v>0</v>
      </c>
      <c r="S12" s="36">
        <f>SUBTOTAL(103,January!$S$7:$S$11)</f>
        <v>1</v>
      </c>
      <c r="T12" s="36">
        <f>SUBTOTAL(103,January!$T$7:$T$11)</f>
        <v>0</v>
      </c>
      <c r="U12" s="36">
        <f>SUBTOTAL(103,January!$U$7:$U$11)</f>
        <v>1</v>
      </c>
      <c r="V12" s="36">
        <f>SUBTOTAL(103,January!$V$7:$V$11)</f>
        <v>2</v>
      </c>
      <c r="W12" s="36">
        <f>SUBTOTAL(103,January!$W$7:$W$11)</f>
        <v>1</v>
      </c>
      <c r="X12" s="36">
        <f>SUBTOTAL(103,January!$X$7:$X$11)</f>
        <v>0</v>
      </c>
      <c r="Y12" s="36">
        <f>SUBTOTAL(103,January!$Y$7:$Y$11)</f>
        <v>0</v>
      </c>
      <c r="Z12" s="36">
        <f>SUBTOTAL(103,January!$Z$7:$Z$11)</f>
        <v>1</v>
      </c>
      <c r="AA12" s="36">
        <f>SUBTOTAL(103,January!$AA$7:$AA$11)</f>
        <v>1</v>
      </c>
      <c r="AB12" s="36">
        <f>SUBTOTAL(103,January!$AB$7:$AB$11)</f>
        <v>1</v>
      </c>
      <c r="AC12" s="36">
        <f>SUBTOTAL(103,January!$AC$7:$AC$11)</f>
        <v>1</v>
      </c>
      <c r="AD12" s="36">
        <f>SUBTOTAL(103,January!$AD$7:$AD$11)</f>
        <v>0</v>
      </c>
      <c r="AE12" s="36">
        <f>SUBTOTAL(103,January!$AE$7:$AE$11)</f>
        <v>1</v>
      </c>
      <c r="AF12" s="36">
        <f>SUBTOTAL(103,January!$AF$7:$AF$11)</f>
        <v>0</v>
      </c>
      <c r="AG12" s="36">
        <f>SUBTOTAL(103,January!$AG$7:$AG$11)</f>
        <v>1</v>
      </c>
      <c r="AH12" s="37">
        <f>SUBTOTAL(109,January[Total Days])</f>
        <v>25</v>
      </c>
      <c r="AI12" s="24"/>
      <c r="AJ12" s="24"/>
      <c r="AK12" s="24"/>
      <c r="AL12" s="24"/>
    </row>
    <row r="13" spans="1:38" ht="30" customHeight="1" x14ac:dyDescent="0.25">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24"/>
      <c r="AJ13" s="24"/>
      <c r="AK13" s="24"/>
      <c r="AL13" s="24"/>
    </row>
    <row r="14" spans="1:38" ht="30" customHeight="1" x14ac:dyDescent="0.2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24"/>
      <c r="AJ14" s="24"/>
      <c r="AK14" s="24"/>
      <c r="AL14" s="24"/>
    </row>
    <row r="15" spans="1:38" ht="30" customHeight="1" x14ac:dyDescent="0.2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24"/>
      <c r="AJ15" s="24"/>
      <c r="AK15" s="24"/>
      <c r="AL15" s="24"/>
    </row>
    <row r="16" spans="1:38" ht="30" customHeight="1" x14ac:dyDescent="0.2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24"/>
      <c r="AJ16" s="24"/>
      <c r="AK16" s="24"/>
      <c r="AL16" s="24"/>
    </row>
    <row r="17" spans="2:38" ht="30" customHeight="1" x14ac:dyDescent="0.2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24"/>
      <c r="AJ17" s="24"/>
      <c r="AK17" s="24"/>
      <c r="AL17" s="24"/>
    </row>
    <row r="18" spans="2:38" ht="30" customHeight="1" x14ac:dyDescent="0.25">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24"/>
      <c r="AJ18" s="24"/>
      <c r="AK18" s="24"/>
      <c r="AL18" s="24"/>
    </row>
    <row r="19" spans="2:38" ht="30" customHeight="1" x14ac:dyDescent="0.25">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2:38" ht="30" customHeight="1" x14ac:dyDescent="0.25">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2:38" ht="30" customHeight="1" x14ac:dyDescent="0.2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2:38" ht="30" customHeight="1" x14ac:dyDescent="0.25">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892" priority="6" stopIfTrue="1">
      <formula>C7=KeyCustom2</formula>
    </cfRule>
    <cfRule type="expression" dxfId="891" priority="7" stopIfTrue="1">
      <formula>C7=KeyCustom1</formula>
    </cfRule>
    <cfRule type="expression" dxfId="890" priority="8" stopIfTrue="1">
      <formula>C7=KeySick</formula>
    </cfRule>
    <cfRule type="expression" dxfId="889" priority="9" stopIfTrue="1">
      <formula>C7=KeyPersonal</formula>
    </cfRule>
    <cfRule type="expression" dxfId="888"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er year in this cell" sqref="AH4" xr:uid="{00000000-0002-0000-0000-000000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000-000001000000}"/>
    <dataValidation allowBlank="1" showInputMessage="1" showErrorMessage="1" prompt="Days of the month in this row are automatically generated. Enter an employee's absence and absence type in each column for each day of the month. Blank means no absence" sqref="C6" xr:uid="{00000000-0002-0000-0000-000002000000}"/>
    <dataValidation allowBlank="1" showInputMessage="1" showErrorMessage="1" prompt="Weekdays in this row are automatically updated for the month according to the year entered in AH4. Each day of the month is a column to note an employee's absence and absence type" sqref="C5" xr:uid="{00000000-0002-0000-0000-000003000000}"/>
    <dataValidation allowBlank="1" showInputMessage="1" showErrorMessage="1" prompt="Automatically calculates total number of days an employee was absent this month" sqref="AH6" xr:uid="{00000000-0002-0000-0000-000004000000}"/>
    <dataValidation allowBlank="1" showInputMessage="1" showErrorMessage="1" prompt="Title of the worksheet is in this cell. Update the title and each worksheet will automatically inherit the change" sqref="B1" xr:uid="{00000000-0002-0000-0000-000005000000}"/>
    <dataValidation allowBlank="1" showInputMessage="1" showErrorMessage="1" prompt="Month of this absence schedule. Update the year in cell AH4. Track totals by month in the last cell of the table. Enter employee names in table column B" sqref="B4" xr:uid="{00000000-0002-0000-0000-000006000000}"/>
    <dataValidation allowBlank="1" showInputMessage="1" showErrorMessage="1" prompt="This row defines the keys used in the table: cell C2 is Vacation, G2 is Personal, &amp; K2 is Sick leave. Cells N2 &amp; R2 are customizable " sqref="B2" xr:uid="{00000000-0002-0000-0000-000007000000}"/>
    <dataValidation allowBlank="1" showInputMessage="1" showErrorMessage="1" prompt="The letter &quot;V&quot; indicates absence due to vacation" sqref="C2" xr:uid="{00000000-0002-0000-0000-000008000000}"/>
    <dataValidation allowBlank="1" showInputMessage="1" showErrorMessage="1" prompt="The letter &quot;P&quot; indicates absence due to personal reasons" sqref="G2" xr:uid="{00000000-0002-0000-0000-000009000000}"/>
    <dataValidation allowBlank="1" showInputMessage="1" showErrorMessage="1" prompt="The letter &quot;S&quot; indicates absence due to illness" sqref="K2" xr:uid="{00000000-0002-0000-0000-00000A000000}"/>
    <dataValidation allowBlank="1" showInputMessage="1" showErrorMessage="1" prompt="Enter a letter and customize the label at right to add another key item" sqref="N2 R2" xr:uid="{00000000-0002-0000-0000-00000B000000}"/>
    <dataValidation allowBlank="1" showInputMessage="1" showErrorMessage="1" prompt="Enter a label to describe the custom key at left" sqref="O2:Q2 S2:U2" xr:uid="{00000000-0002-0000-0000-00000C000000}"/>
    <dataValidation allowBlank="1" showInputMessage="1" showErrorMessage="1" prompt="Employee Absence Schedule tracks employee absence by days for each month. There are 13 worksheets, 12 monthly &amp; last one for employee names. Track January absence in this worksheet" sqref="A1" xr:uid="{00000000-0002-0000-0000-00000D000000}"/>
    <dataValidation allowBlank="1" showInputMessage="1" showErrorMessage="1" prompt="Enter year in the cell below" sqref="AH3" xr:uid="{00000000-0002-0000-0000-00000E000000}"/>
  </dataValidations>
  <printOptions horizontalCentered="1"/>
  <pageMargins left="0.25" right="0.25" top="0.75" bottom="0.75" header="0.3" footer="0.3"/>
  <pageSetup scale="7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'Employee Names'!$B$4:$B$8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58</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TEXT(WEEKDAY(DATE(CalendarYear,10,1),1),"aaa")</f>
        <v>Sat</v>
      </c>
      <c r="D5" s="2" t="str">
        <f>TEXT(WEEKDAY(DATE(CalendarYear,10,2),1),"aaa")</f>
        <v>Sun</v>
      </c>
      <c r="E5" s="2" t="str">
        <f>TEXT(WEEKDAY(DATE(CalendarYear,10,3),1),"aaa")</f>
        <v>Mon</v>
      </c>
      <c r="F5" s="2" t="str">
        <f>TEXT(WEEKDAY(DATE(CalendarYear,10,4),1),"aaa")</f>
        <v>Tue</v>
      </c>
      <c r="G5" s="2" t="str">
        <f>TEXT(WEEKDAY(DATE(CalendarYear,10,5),1),"aaa")</f>
        <v>Wed</v>
      </c>
      <c r="H5" s="2" t="str">
        <f>TEXT(WEEKDAY(DATE(CalendarYear,10,6),1),"aaa")</f>
        <v>Thu</v>
      </c>
      <c r="I5" s="2" t="str">
        <f>TEXT(WEEKDAY(DATE(CalendarYear,10,7),1),"aaa")</f>
        <v>Fri</v>
      </c>
      <c r="J5" s="2" t="str">
        <f>TEXT(WEEKDAY(DATE(CalendarYear,10,8),1),"aaa")</f>
        <v>Sat</v>
      </c>
      <c r="K5" s="2" t="str">
        <f>TEXT(WEEKDAY(DATE(CalendarYear,10,9),1),"aaa")</f>
        <v>Sun</v>
      </c>
      <c r="L5" s="2" t="str">
        <f>TEXT(WEEKDAY(DATE(CalendarYear,10,10),1),"aaa")</f>
        <v>Mon</v>
      </c>
      <c r="M5" s="2" t="str">
        <f>TEXT(WEEKDAY(DATE(CalendarYear,10,11),1),"aaa")</f>
        <v>Tue</v>
      </c>
      <c r="N5" s="2" t="str">
        <f>TEXT(WEEKDAY(DATE(CalendarYear,10,12),1),"aaa")</f>
        <v>Wed</v>
      </c>
      <c r="O5" s="2" t="str">
        <f>TEXT(WEEKDAY(DATE(CalendarYear,10,13),1),"aaa")</f>
        <v>Thu</v>
      </c>
      <c r="P5" s="2" t="str">
        <f>TEXT(WEEKDAY(DATE(CalendarYear,10,14),1),"aaa")</f>
        <v>Fri</v>
      </c>
      <c r="Q5" s="2" t="str">
        <f>TEXT(WEEKDAY(DATE(CalendarYear,10,15),1),"aaa")</f>
        <v>Sat</v>
      </c>
      <c r="R5" s="2" t="str">
        <f>TEXT(WEEKDAY(DATE(CalendarYear,10,16),1),"aaa")</f>
        <v>Sun</v>
      </c>
      <c r="S5" s="2" t="str">
        <f>TEXT(WEEKDAY(DATE(CalendarYear,10,17),1),"aaa")</f>
        <v>Mon</v>
      </c>
      <c r="T5" s="2" t="str">
        <f>TEXT(WEEKDAY(DATE(CalendarYear,10,18),1),"aaa")</f>
        <v>Tue</v>
      </c>
      <c r="U5" s="2" t="str">
        <f>TEXT(WEEKDAY(DATE(CalendarYear,10,19),1),"aaa")</f>
        <v>Wed</v>
      </c>
      <c r="V5" s="2" t="str">
        <f>TEXT(WEEKDAY(DATE(CalendarYear,10,20),1),"aaa")</f>
        <v>Thu</v>
      </c>
      <c r="W5" s="2" t="str">
        <f>TEXT(WEEKDAY(DATE(CalendarYear,10,21),1),"aaa")</f>
        <v>Fri</v>
      </c>
      <c r="X5" s="2" t="str">
        <f>TEXT(WEEKDAY(DATE(CalendarYear,10,22),1),"aaa")</f>
        <v>Sat</v>
      </c>
      <c r="Y5" s="2" t="str">
        <f>TEXT(WEEKDAY(DATE(CalendarYear,10,23),1),"aaa")</f>
        <v>Sun</v>
      </c>
      <c r="Z5" s="2" t="str">
        <f>TEXT(WEEKDAY(DATE(CalendarYear,10,24),1),"aaa")</f>
        <v>Mon</v>
      </c>
      <c r="AA5" s="2" t="str">
        <f>TEXT(WEEKDAY(DATE(CalendarYear,10,25),1),"aaa")</f>
        <v>Tue</v>
      </c>
      <c r="AB5" s="2" t="str">
        <f>TEXT(WEEKDAY(DATE(CalendarYear,10,26),1),"aaa")</f>
        <v>Wed</v>
      </c>
      <c r="AC5" s="2" t="str">
        <f>TEXT(WEEKDAY(DATE(CalendarYear,10,27),1),"aaa")</f>
        <v>Thu</v>
      </c>
      <c r="AD5" s="2" t="str">
        <f>TEXT(WEEKDAY(DATE(CalendarYear,10,28),1),"aaa")</f>
        <v>Fri</v>
      </c>
      <c r="AE5" s="2" t="str">
        <f>TEXT(WEEKDAY(DATE(CalendarYear,10,29),1),"aaa")</f>
        <v>Sat</v>
      </c>
      <c r="AF5" s="2" t="str">
        <f>TEXT(WEEKDAY(DATE(CalendarYear,10,30),1),"aaa")</f>
        <v>Sun</v>
      </c>
      <c r="AG5" s="2" t="str">
        <f>TEXT(WEEKDAY(DATE(CalendarYear,10,31),1),"aaa")</f>
        <v>Mon</v>
      </c>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COUNTA(October[[#This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COUNTA(October[[#This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COUNTA(October[[#This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COUNTA(October[[#This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COUNTA(October[[#This Row],[1]:[31]])</f>
        <v>0</v>
      </c>
    </row>
    <row r="12" spans="2:34" ht="30" customHeight="1" x14ac:dyDescent="0.25">
      <c r="B12" s="19" t="str">
        <f>MonthName&amp;" Total"</f>
        <v>October Total</v>
      </c>
      <c r="C12" s="12">
        <f>SUBTOTAL(103,October[1])</f>
        <v>0</v>
      </c>
      <c r="D12" s="12">
        <f>SUBTOTAL(103,October[2])</f>
        <v>0</v>
      </c>
      <c r="E12" s="12">
        <f>SUBTOTAL(103,October[3])</f>
        <v>0</v>
      </c>
      <c r="F12" s="12">
        <f>SUBTOTAL(103,October[4])</f>
        <v>0</v>
      </c>
      <c r="G12" s="12">
        <f>SUBTOTAL(103,October[5])</f>
        <v>0</v>
      </c>
      <c r="H12" s="12">
        <f>SUBTOTAL(103,October[6])</f>
        <v>0</v>
      </c>
      <c r="I12" s="12">
        <f>SUBTOTAL(103,October[7])</f>
        <v>0</v>
      </c>
      <c r="J12" s="12">
        <f>SUBTOTAL(103,October[8])</f>
        <v>0</v>
      </c>
      <c r="K12" s="12">
        <f>SUBTOTAL(103,October[9])</f>
        <v>0</v>
      </c>
      <c r="L12" s="12">
        <f>SUBTOTAL(103,October[10])</f>
        <v>0</v>
      </c>
      <c r="M12" s="12">
        <f>SUBTOTAL(103,October[11])</f>
        <v>0</v>
      </c>
      <c r="N12" s="12">
        <f>SUBTOTAL(103,October[12])</f>
        <v>0</v>
      </c>
      <c r="O12" s="12">
        <f>SUBTOTAL(103,October[13])</f>
        <v>0</v>
      </c>
      <c r="P12" s="12">
        <f>SUBTOTAL(103,October[14])</f>
        <v>0</v>
      </c>
      <c r="Q12" s="12">
        <f>SUBTOTAL(103,October[15])</f>
        <v>0</v>
      </c>
      <c r="R12" s="12">
        <f>SUBTOTAL(103,October[16])</f>
        <v>0</v>
      </c>
      <c r="S12" s="12">
        <f>SUBTOTAL(103,October[17])</f>
        <v>0</v>
      </c>
      <c r="T12" s="12">
        <f>SUBTOTAL(103,October[18])</f>
        <v>0</v>
      </c>
      <c r="U12" s="12">
        <f>SUBTOTAL(103,October[19])</f>
        <v>0</v>
      </c>
      <c r="V12" s="12">
        <f>SUBTOTAL(103,October[20])</f>
        <v>0</v>
      </c>
      <c r="W12" s="12">
        <f>SUBTOTAL(103,October[21])</f>
        <v>0</v>
      </c>
      <c r="X12" s="12">
        <f>SUBTOTAL(103,October[22])</f>
        <v>0</v>
      </c>
      <c r="Y12" s="12">
        <f>SUBTOTAL(103,October[23])</f>
        <v>0</v>
      </c>
      <c r="Z12" s="12">
        <f>SUBTOTAL(103,October[24])</f>
        <v>0</v>
      </c>
      <c r="AA12" s="12">
        <f>SUBTOTAL(103,October[25])</f>
        <v>0</v>
      </c>
      <c r="AB12" s="12">
        <f>SUBTOTAL(103,October[26])</f>
        <v>0</v>
      </c>
      <c r="AC12" s="12">
        <f>SUBTOTAL(103,October[27])</f>
        <v>0</v>
      </c>
      <c r="AD12" s="12">
        <f>SUBTOTAL(103,October[28])</f>
        <v>0</v>
      </c>
      <c r="AE12" s="12">
        <f>SUBTOTAL(103,October[29])</f>
        <v>0</v>
      </c>
      <c r="AF12" s="12">
        <f>SUBTOTAL(109,October[30])</f>
        <v>0</v>
      </c>
      <c r="AG12" s="12">
        <f>SUBTOTAL(109,October[31])</f>
        <v>0</v>
      </c>
      <c r="AH12" s="12">
        <f>SUBTOTAL(109,October[Total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21" priority="2" stopIfTrue="1">
      <formula>C7=KeyCustom2</formula>
    </cfRule>
    <cfRule type="expression" dxfId="220" priority="3" stopIfTrue="1">
      <formula>C7=KeyCustom1</formula>
    </cfRule>
    <cfRule type="expression" dxfId="219" priority="4" stopIfTrue="1">
      <formula>C7=KeySick</formula>
    </cfRule>
    <cfRule type="expression" dxfId="218" priority="5" stopIfTrue="1">
      <formula>C7=KeyPersonal</formula>
    </cfRule>
    <cfRule type="expression" dxfId="217"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900-000000000000}"/>
    <dataValidation allowBlank="1" showInputMessage="1" showErrorMessage="1" prompt="Automatically updated year based on year entered in January worksheet" sqref="AH4" xr:uid="{00000000-0002-0000-0900-000001000000}"/>
    <dataValidation allowBlank="1" showInputMessage="1" showErrorMessage="1" prompt="Automatically calculates total number of days an employee was absent this month in this column" sqref="AH6" xr:uid="{00000000-0002-0000-0900-000002000000}"/>
    <dataValidation allowBlank="1" showInputMessage="1" showErrorMessage="1" prompt="Track October absence in this worksheet" sqref="A1" xr:uid="{00000000-0002-0000-09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900-000004000000}"/>
    <dataValidation allowBlank="1" showInputMessage="1" showErrorMessage="1" prompt="Automatically updated title is in this cell. To modify the title, update B1 on January worksheet" sqref="B1" xr:uid="{00000000-0002-0000-0900-000005000000}"/>
    <dataValidation allowBlank="1" showInputMessage="1" showErrorMessage="1" prompt="The letter &quot;V&quot; indicates absence due to vacation" sqref="C2" xr:uid="{00000000-0002-0000-0900-000006000000}"/>
    <dataValidation allowBlank="1" showInputMessage="1" showErrorMessage="1" prompt="The letter &quot;P&quot; indicates absence due to personal reasons" sqref="G2" xr:uid="{00000000-0002-0000-0900-000007000000}"/>
    <dataValidation allowBlank="1" showInputMessage="1" showErrorMessage="1" prompt="The letter &quot;S&quot; indicates absence due to illness" sqref="K2" xr:uid="{00000000-0002-0000-0900-000008000000}"/>
    <dataValidation allowBlank="1" showInputMessage="1" showErrorMessage="1" prompt="Enter a letter and customize the label at right to add another key item" sqref="N2 R2" xr:uid="{00000000-0002-0000-0900-000009000000}"/>
    <dataValidation allowBlank="1" showInputMessage="1" showErrorMessage="1" prompt="Enter a label to describe the custom key at left" sqref="O2:Q2 S2:U2" xr:uid="{00000000-0002-0000-0900-00000A000000}"/>
    <dataValidation allowBlank="1" showInputMessage="1" showErrorMessage="1" prompt="This row defines the keys used in the table: cell C2 is Vacation, G2 is Personal, &amp; K2 is Sick leave. Cells N2 &amp; R2 are customizable " sqref="B2" xr:uid="{00000000-0002-0000-0900-00000B000000}"/>
    <dataValidation allowBlank="1" showInputMessage="1" showErrorMessage="1" prompt="Month name for this absence schedule is in this cell. Absence totals for this month are in last cell of the table. Select employee names in table column B" sqref="B4" xr:uid="{00000000-0002-0000-09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9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'Employee Names'!$B$4:$B$8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59</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TEXT(WEEKDAY(DATE(CalendarYear,11,1),1),"aaa")</f>
        <v>Tue</v>
      </c>
      <c r="D5" s="2" t="str">
        <f>TEXT(WEEKDAY(DATE(CalendarYear,11,2),1),"aaa")</f>
        <v>Wed</v>
      </c>
      <c r="E5" s="2" t="str">
        <f>TEXT(WEEKDAY(DATE(CalendarYear,11,3),1),"aaa")</f>
        <v>Thu</v>
      </c>
      <c r="F5" s="2" t="str">
        <f>TEXT(WEEKDAY(DATE(CalendarYear,11,4),1),"aaa")</f>
        <v>Fri</v>
      </c>
      <c r="G5" s="2" t="str">
        <f>TEXT(WEEKDAY(DATE(CalendarYear,11,5),1),"aaa")</f>
        <v>Sat</v>
      </c>
      <c r="H5" s="2" t="str">
        <f>TEXT(WEEKDAY(DATE(CalendarYear,11,6),1),"aaa")</f>
        <v>Sun</v>
      </c>
      <c r="I5" s="2" t="str">
        <f>TEXT(WEEKDAY(DATE(CalendarYear,11,7),1),"aaa")</f>
        <v>Mon</v>
      </c>
      <c r="J5" s="2" t="str">
        <f>TEXT(WEEKDAY(DATE(CalendarYear,11,8),1),"aaa")</f>
        <v>Tue</v>
      </c>
      <c r="K5" s="2" t="str">
        <f>TEXT(WEEKDAY(DATE(CalendarYear,11,9),1),"aaa")</f>
        <v>Wed</v>
      </c>
      <c r="L5" s="2" t="str">
        <f>TEXT(WEEKDAY(DATE(CalendarYear,11,10),1),"aaa")</f>
        <v>Thu</v>
      </c>
      <c r="M5" s="2" t="str">
        <f>TEXT(WEEKDAY(DATE(CalendarYear,11,11),1),"aaa")</f>
        <v>Fri</v>
      </c>
      <c r="N5" s="2" t="str">
        <f>TEXT(WEEKDAY(DATE(CalendarYear,11,12),1),"aaa")</f>
        <v>Sat</v>
      </c>
      <c r="O5" s="2" t="str">
        <f>TEXT(WEEKDAY(DATE(CalendarYear,11,13),1),"aaa")</f>
        <v>Sun</v>
      </c>
      <c r="P5" s="2" t="str">
        <f>TEXT(WEEKDAY(DATE(CalendarYear,11,14),1),"aaa")</f>
        <v>Mon</v>
      </c>
      <c r="Q5" s="2" t="str">
        <f>TEXT(WEEKDAY(DATE(CalendarYear,11,15),1),"aaa")</f>
        <v>Tue</v>
      </c>
      <c r="R5" s="2" t="str">
        <f>TEXT(WEEKDAY(DATE(CalendarYear,11,16),1),"aaa")</f>
        <v>Wed</v>
      </c>
      <c r="S5" s="2" t="str">
        <f>TEXT(WEEKDAY(DATE(CalendarYear,11,17),1),"aaa")</f>
        <v>Thu</v>
      </c>
      <c r="T5" s="2" t="str">
        <f>TEXT(WEEKDAY(DATE(CalendarYear,11,18),1),"aaa")</f>
        <v>Fri</v>
      </c>
      <c r="U5" s="2" t="str">
        <f>TEXT(WEEKDAY(DATE(CalendarYear,11,19),1),"aaa")</f>
        <v>Sat</v>
      </c>
      <c r="V5" s="2" t="str">
        <f>TEXT(WEEKDAY(DATE(CalendarYear,11,20),1),"aaa")</f>
        <v>Sun</v>
      </c>
      <c r="W5" s="2" t="str">
        <f>TEXT(WEEKDAY(DATE(CalendarYear,11,21),1),"aaa")</f>
        <v>Mon</v>
      </c>
      <c r="X5" s="2" t="str">
        <f>TEXT(WEEKDAY(DATE(CalendarYear,11,22),1),"aaa")</f>
        <v>Tue</v>
      </c>
      <c r="Y5" s="2" t="str">
        <f>TEXT(WEEKDAY(DATE(CalendarYear,11,23),1),"aaa")</f>
        <v>Wed</v>
      </c>
      <c r="Z5" s="2" t="str">
        <f>TEXT(WEEKDAY(DATE(CalendarYear,11,24),1),"aaa")</f>
        <v>Thu</v>
      </c>
      <c r="AA5" s="2" t="str">
        <f>TEXT(WEEKDAY(DATE(CalendarYear,11,25),1),"aaa")</f>
        <v>Fri</v>
      </c>
      <c r="AB5" s="2" t="str">
        <f>TEXT(WEEKDAY(DATE(CalendarYear,11,26),1),"aaa")</f>
        <v>Sat</v>
      </c>
      <c r="AC5" s="2" t="str">
        <f>TEXT(WEEKDAY(DATE(CalendarYear,11,27),1),"aaa")</f>
        <v>Sun</v>
      </c>
      <c r="AD5" s="2" t="str">
        <f>TEXT(WEEKDAY(DATE(CalendarYear,11,28),1),"aaa")</f>
        <v>Mon</v>
      </c>
      <c r="AE5" s="2" t="str">
        <f>TEXT(WEEKDAY(DATE(CalendarYear,11,29),1),"aaa")</f>
        <v>Tue</v>
      </c>
      <c r="AF5" s="2" t="str">
        <f>TEXT(WEEKDAY(DATE(CalendarYear,11,30),1),"aaa")</f>
        <v>Wed</v>
      </c>
      <c r="AG5" s="2"/>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COUNTA(November[[#This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COUNTA(November[[#This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COUNTA(November[[#This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COUNTA(November[[#This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COUNTA(November[[#This Row],[1]:[31]])</f>
        <v>0</v>
      </c>
    </row>
    <row r="12" spans="2:34" ht="30" customHeight="1" x14ac:dyDescent="0.25">
      <c r="B12" s="19" t="str">
        <f>MonthName&amp;" Total"</f>
        <v>November Total</v>
      </c>
      <c r="C12" s="12">
        <f>SUBTOTAL(103,November[1])</f>
        <v>0</v>
      </c>
      <c r="D12" s="12">
        <f>SUBTOTAL(103,November[2])</f>
        <v>0</v>
      </c>
      <c r="E12" s="12">
        <f>SUBTOTAL(103,November[3])</f>
        <v>0</v>
      </c>
      <c r="F12" s="12">
        <f>SUBTOTAL(103,November[4])</f>
        <v>0</v>
      </c>
      <c r="G12" s="12">
        <f>SUBTOTAL(103,November[5])</f>
        <v>0</v>
      </c>
      <c r="H12" s="12">
        <f>SUBTOTAL(103,November[6])</f>
        <v>0</v>
      </c>
      <c r="I12" s="12">
        <f>SUBTOTAL(103,November[7])</f>
        <v>0</v>
      </c>
      <c r="J12" s="12">
        <f>SUBTOTAL(103,November[8])</f>
        <v>0</v>
      </c>
      <c r="K12" s="12">
        <f>SUBTOTAL(103,November[9])</f>
        <v>0</v>
      </c>
      <c r="L12" s="12">
        <f>SUBTOTAL(103,November[10])</f>
        <v>0</v>
      </c>
      <c r="M12" s="12">
        <f>SUBTOTAL(103,November[11])</f>
        <v>0</v>
      </c>
      <c r="N12" s="12">
        <f>SUBTOTAL(103,November[12])</f>
        <v>0</v>
      </c>
      <c r="O12" s="12">
        <f>SUBTOTAL(103,November[13])</f>
        <v>0</v>
      </c>
      <c r="P12" s="12">
        <f>SUBTOTAL(103,November[14])</f>
        <v>0</v>
      </c>
      <c r="Q12" s="12">
        <f>SUBTOTAL(103,November[15])</f>
        <v>0</v>
      </c>
      <c r="R12" s="12">
        <f>SUBTOTAL(103,November[16])</f>
        <v>0</v>
      </c>
      <c r="S12" s="12">
        <f>SUBTOTAL(103,November[17])</f>
        <v>0</v>
      </c>
      <c r="T12" s="12">
        <f>SUBTOTAL(103,November[18])</f>
        <v>0</v>
      </c>
      <c r="U12" s="12">
        <f>SUBTOTAL(103,November[19])</f>
        <v>0</v>
      </c>
      <c r="V12" s="12">
        <f>SUBTOTAL(103,November[20])</f>
        <v>0</v>
      </c>
      <c r="W12" s="12">
        <f>SUBTOTAL(103,November[21])</f>
        <v>0</v>
      </c>
      <c r="X12" s="12">
        <f>SUBTOTAL(103,November[22])</f>
        <v>0</v>
      </c>
      <c r="Y12" s="12">
        <f>SUBTOTAL(103,November[23])</f>
        <v>0</v>
      </c>
      <c r="Z12" s="12">
        <f>SUBTOTAL(103,November[24])</f>
        <v>0</v>
      </c>
      <c r="AA12" s="12">
        <f>SUBTOTAL(103,November[25])</f>
        <v>0</v>
      </c>
      <c r="AB12" s="12">
        <f>SUBTOTAL(103,November[26])</f>
        <v>0</v>
      </c>
      <c r="AC12" s="12">
        <f>SUBTOTAL(103,November[27])</f>
        <v>0</v>
      </c>
      <c r="AD12" s="12">
        <f>SUBTOTAL(103,November[28])</f>
        <v>0</v>
      </c>
      <c r="AE12" s="12">
        <f>SUBTOTAL(103,November[29])</f>
        <v>0</v>
      </c>
      <c r="AF12" s="12">
        <f>SUBTOTAL(109,November[30])</f>
        <v>0</v>
      </c>
      <c r="AG12" s="12">
        <f>SUBTOTAL(109,November[31])</f>
        <v>0</v>
      </c>
      <c r="AH12" s="12">
        <f>SUBTOTAL(109,November[Total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47" priority="2" stopIfTrue="1">
      <formula>C7=KeyCustom2</formula>
    </cfRule>
    <cfRule type="expression" dxfId="146" priority="3" stopIfTrue="1">
      <formula>C7=KeyCustom1</formula>
    </cfRule>
    <cfRule type="expression" dxfId="145" priority="4" stopIfTrue="1">
      <formula>C7=KeySick</formula>
    </cfRule>
    <cfRule type="expression" dxfId="144" priority="5" stopIfTrue="1">
      <formula>C7=KeyPersonal</formula>
    </cfRule>
    <cfRule type="expression" dxfId="143"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A00-000000000000}"/>
    <dataValidation allowBlank="1" showInputMessage="1" showErrorMessage="1" prompt="Month name for this absence schedule is in this cell. Absence totals for this month are in last cell of the table. Select employee names in table column B" sqref="B4" xr:uid="{00000000-0002-0000-0A00-000001000000}"/>
    <dataValidation allowBlank="1" showInputMessage="1" showErrorMessage="1" prompt="This row defines the keys used in the table: cell C2 is Vacation, G2 is Personal, &amp; K2 is Sick leave. Cells N2 &amp; R2 are customizable " sqref="B2" xr:uid="{00000000-0002-0000-0A00-000002000000}"/>
    <dataValidation allowBlank="1" showInputMessage="1" showErrorMessage="1" prompt="Enter a label to describe the custom key at left" sqref="O2:Q2 S2:U2" xr:uid="{00000000-0002-0000-0A00-000003000000}"/>
    <dataValidation allowBlank="1" showInputMessage="1" showErrorMessage="1" prompt="Enter a letter and customize the label at right to add another key item" sqref="N2 R2" xr:uid="{00000000-0002-0000-0A00-000004000000}"/>
    <dataValidation allowBlank="1" showInputMessage="1" showErrorMessage="1" prompt="The letter &quot;S&quot; indicates absence due to illness" sqref="K2" xr:uid="{00000000-0002-0000-0A00-000005000000}"/>
    <dataValidation allowBlank="1" showInputMessage="1" showErrorMessage="1" prompt="The letter &quot;P&quot; indicates absence due to personal reasons" sqref="G2" xr:uid="{00000000-0002-0000-0A00-000006000000}"/>
    <dataValidation allowBlank="1" showInputMessage="1" showErrorMessage="1" prompt="The letter &quot;V&quot; indicates absence due to vacation" sqref="C2" xr:uid="{00000000-0002-0000-0A00-000007000000}"/>
    <dataValidation allowBlank="1" showInputMessage="1" showErrorMessage="1" prompt="Automatically updated title is in this cell. To modify the title, update B1 on January worksheet" sqref="B1" xr:uid="{00000000-0002-0000-0A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A00-000009000000}"/>
    <dataValidation allowBlank="1" showInputMessage="1" showErrorMessage="1" prompt="Track November absence in this worksheet" sqref="A1" xr:uid="{00000000-0002-0000-0A00-00000A000000}"/>
    <dataValidation allowBlank="1" showInputMessage="1" showErrorMessage="1" prompt="Automatically calculates total number of days an employee was absent this month in this column" sqref="AH6" xr:uid="{00000000-0002-0000-0A00-00000B000000}"/>
    <dataValidation allowBlank="1" showInputMessage="1" showErrorMessage="1" prompt="Automatically updated year based on year entered in January worksheet" sqref="AH4" xr:uid="{00000000-0002-0000-0A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A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'Employee Names'!$B$4:$B$8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60</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TEXT(WEEKDAY(DATE(CalendarYear,12,1),1),"aaa")</f>
        <v>Thu</v>
      </c>
      <c r="D5" s="2" t="str">
        <f>TEXT(WEEKDAY(DATE(CalendarYear,12,2),1),"aaa")</f>
        <v>Fri</v>
      </c>
      <c r="E5" s="2" t="str">
        <f>TEXT(WEEKDAY(DATE(CalendarYear,12,3),1),"aaa")</f>
        <v>Sat</v>
      </c>
      <c r="F5" s="2" t="str">
        <f>TEXT(WEEKDAY(DATE(CalendarYear,12,4),1),"aaa")</f>
        <v>Sun</v>
      </c>
      <c r="G5" s="2" t="str">
        <f>TEXT(WEEKDAY(DATE(CalendarYear,12,5),1),"aaa")</f>
        <v>Mon</v>
      </c>
      <c r="H5" s="2" t="str">
        <f>TEXT(WEEKDAY(DATE(CalendarYear,12,6),1),"aaa")</f>
        <v>Tue</v>
      </c>
      <c r="I5" s="2" t="str">
        <f>TEXT(WEEKDAY(DATE(CalendarYear,12,7),1),"aaa")</f>
        <v>Wed</v>
      </c>
      <c r="J5" s="2" t="str">
        <f>TEXT(WEEKDAY(DATE(CalendarYear,12,8),1),"aaa")</f>
        <v>Thu</v>
      </c>
      <c r="K5" s="2" t="str">
        <f>TEXT(WEEKDAY(DATE(CalendarYear,12,9),1),"aaa")</f>
        <v>Fri</v>
      </c>
      <c r="L5" s="2" t="str">
        <f>TEXT(WEEKDAY(DATE(CalendarYear,12,10),1),"aaa")</f>
        <v>Sat</v>
      </c>
      <c r="M5" s="2" t="str">
        <f>TEXT(WEEKDAY(DATE(CalendarYear,12,11),1),"aaa")</f>
        <v>Sun</v>
      </c>
      <c r="N5" s="2" t="str">
        <f>TEXT(WEEKDAY(DATE(CalendarYear,12,12),1),"aaa")</f>
        <v>Mon</v>
      </c>
      <c r="O5" s="2" t="str">
        <f>TEXT(WEEKDAY(DATE(CalendarYear,12,13),1),"aaa")</f>
        <v>Tue</v>
      </c>
      <c r="P5" s="2" t="str">
        <f>TEXT(WEEKDAY(DATE(CalendarYear,12,14),1),"aaa")</f>
        <v>Wed</v>
      </c>
      <c r="Q5" s="2" t="str">
        <f>TEXT(WEEKDAY(DATE(CalendarYear,12,15),1),"aaa")</f>
        <v>Thu</v>
      </c>
      <c r="R5" s="2" t="str">
        <f>TEXT(WEEKDAY(DATE(CalendarYear,12,16),1),"aaa")</f>
        <v>Fri</v>
      </c>
      <c r="S5" s="2" t="str">
        <f>TEXT(WEEKDAY(DATE(CalendarYear,12,17),1),"aaa")</f>
        <v>Sat</v>
      </c>
      <c r="T5" s="2" t="str">
        <f>TEXT(WEEKDAY(DATE(CalendarYear,12,18),1),"aaa")</f>
        <v>Sun</v>
      </c>
      <c r="U5" s="2" t="str">
        <f>TEXT(WEEKDAY(DATE(CalendarYear,12,19),1),"aaa")</f>
        <v>Mon</v>
      </c>
      <c r="V5" s="2" t="str">
        <f>TEXT(WEEKDAY(DATE(CalendarYear,12,20),1),"aaa")</f>
        <v>Tue</v>
      </c>
      <c r="W5" s="2" t="str">
        <f>TEXT(WEEKDAY(DATE(CalendarYear,12,21),1),"aaa")</f>
        <v>Wed</v>
      </c>
      <c r="X5" s="2" t="str">
        <f>TEXT(WEEKDAY(DATE(CalendarYear,12,22),1),"aaa")</f>
        <v>Thu</v>
      </c>
      <c r="Y5" s="2" t="str">
        <f>TEXT(WEEKDAY(DATE(CalendarYear,12,23),1),"aaa")</f>
        <v>Fri</v>
      </c>
      <c r="Z5" s="2" t="str">
        <f>TEXT(WEEKDAY(DATE(CalendarYear,12,24),1),"aaa")</f>
        <v>Sat</v>
      </c>
      <c r="AA5" s="2" t="str">
        <f>TEXT(WEEKDAY(DATE(CalendarYear,12,25),1),"aaa")</f>
        <v>Sun</v>
      </c>
      <c r="AB5" s="2" t="str">
        <f>TEXT(WEEKDAY(DATE(CalendarYear,12,26),1),"aaa")</f>
        <v>Mon</v>
      </c>
      <c r="AC5" s="2" t="str">
        <f>TEXT(WEEKDAY(DATE(CalendarYear,12,27),1),"aaa")</f>
        <v>Tue</v>
      </c>
      <c r="AD5" s="2" t="str">
        <f>TEXT(WEEKDAY(DATE(CalendarYear,12,28),1),"aaa")</f>
        <v>Wed</v>
      </c>
      <c r="AE5" s="2" t="str">
        <f>TEXT(WEEKDAY(DATE(CalendarYear,12,29),1),"aaa")</f>
        <v>Thu</v>
      </c>
      <c r="AF5" s="2" t="str">
        <f>TEXT(WEEKDAY(DATE(CalendarYear,12,30),1),"aaa")</f>
        <v>Fri</v>
      </c>
      <c r="AG5" s="2" t="str">
        <f>TEXT(WEEKDAY(DATE(CalendarYear,12,31),1),"aaa")</f>
        <v>Sat</v>
      </c>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COUNTA(December[[#This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COUNTA(December[[#This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COUNTA(December[[#This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COUNTA(December[[#This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COUNTA(December[[#This Row],[1]:[31]])</f>
        <v>0</v>
      </c>
    </row>
    <row r="12" spans="2:34" ht="30" customHeight="1" x14ac:dyDescent="0.25">
      <c r="B12" s="19" t="str">
        <f>MonthName&amp;" Total"</f>
        <v>December Total</v>
      </c>
      <c r="C12" s="12">
        <f>SUBTOTAL(103,December[1])</f>
        <v>0</v>
      </c>
      <c r="D12" s="12">
        <f>SUBTOTAL(103,December[2])</f>
        <v>0</v>
      </c>
      <c r="E12" s="12">
        <f>SUBTOTAL(103,December[3])</f>
        <v>0</v>
      </c>
      <c r="F12" s="12">
        <f>SUBTOTAL(103,December[4])</f>
        <v>0</v>
      </c>
      <c r="G12" s="12">
        <f>SUBTOTAL(103,December[5])</f>
        <v>0</v>
      </c>
      <c r="H12" s="12">
        <f>SUBTOTAL(103,December[6])</f>
        <v>0</v>
      </c>
      <c r="I12" s="12">
        <f>SUBTOTAL(103,December[7])</f>
        <v>0</v>
      </c>
      <c r="J12" s="12">
        <f>SUBTOTAL(103,December[8])</f>
        <v>0</v>
      </c>
      <c r="K12" s="12">
        <f>SUBTOTAL(103,December[9])</f>
        <v>0</v>
      </c>
      <c r="L12" s="12">
        <f>SUBTOTAL(103,December[10])</f>
        <v>0</v>
      </c>
      <c r="M12" s="12">
        <f>SUBTOTAL(103,December[11])</f>
        <v>0</v>
      </c>
      <c r="N12" s="12">
        <f>SUBTOTAL(103,December[12])</f>
        <v>0</v>
      </c>
      <c r="O12" s="12">
        <f>SUBTOTAL(103,December[13])</f>
        <v>0</v>
      </c>
      <c r="P12" s="12">
        <f>SUBTOTAL(103,December[14])</f>
        <v>0</v>
      </c>
      <c r="Q12" s="12">
        <f>SUBTOTAL(103,December[15])</f>
        <v>0</v>
      </c>
      <c r="R12" s="12">
        <f>SUBTOTAL(103,December[16])</f>
        <v>0</v>
      </c>
      <c r="S12" s="12">
        <f>SUBTOTAL(103,December[17])</f>
        <v>0</v>
      </c>
      <c r="T12" s="12">
        <f>SUBTOTAL(103,December[18])</f>
        <v>0</v>
      </c>
      <c r="U12" s="12">
        <f>SUBTOTAL(103,December[19])</f>
        <v>0</v>
      </c>
      <c r="V12" s="12">
        <f>SUBTOTAL(103,December[20])</f>
        <v>0</v>
      </c>
      <c r="W12" s="12">
        <f>SUBTOTAL(103,December[21])</f>
        <v>0</v>
      </c>
      <c r="X12" s="12">
        <f>SUBTOTAL(103,December[22])</f>
        <v>0</v>
      </c>
      <c r="Y12" s="12">
        <f>SUBTOTAL(103,December[23])</f>
        <v>0</v>
      </c>
      <c r="Z12" s="12">
        <f>SUBTOTAL(103,December[24])</f>
        <v>0</v>
      </c>
      <c r="AA12" s="12">
        <f>SUBTOTAL(103,December[25])</f>
        <v>0</v>
      </c>
      <c r="AB12" s="12">
        <f>SUBTOTAL(103,December[26])</f>
        <v>0</v>
      </c>
      <c r="AC12" s="12">
        <f>SUBTOTAL(103,December[27])</f>
        <v>0</v>
      </c>
      <c r="AD12" s="12">
        <f>SUBTOTAL(103,December[28])</f>
        <v>0</v>
      </c>
      <c r="AE12" s="12">
        <f>SUBTOTAL(103,December[29])</f>
        <v>0</v>
      </c>
      <c r="AF12" s="12">
        <f>SUBTOTAL(109,December[30])</f>
        <v>0</v>
      </c>
      <c r="AG12" s="12">
        <f>SUBTOTAL(109,December[31])</f>
        <v>0</v>
      </c>
      <c r="AH12" s="12">
        <f>SUBTOTAL(109,December[Total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3" priority="2" stopIfTrue="1">
      <formula>C7=KeyCustom2</formula>
    </cfRule>
    <cfRule type="expression" dxfId="72" priority="3" stopIfTrue="1">
      <formula>C7=KeyCustom1</formula>
    </cfRule>
    <cfRule type="expression" dxfId="71" priority="4" stopIfTrue="1">
      <formula>C7=KeySick</formula>
    </cfRule>
    <cfRule type="expression" dxfId="70" priority="5" stopIfTrue="1">
      <formula>C7=KeyPersonal</formula>
    </cfRule>
    <cfRule type="expression" dxfId="69" priority="6" stopIfTrue="1">
      <formula>C7=KeyVacation</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utomatically updated year based on year entered in January worksheet" sqref="AH4" xr:uid="{00000000-0002-0000-0B00-000000000000}"/>
    <dataValidation allowBlank="1" showInputMessage="1" showErrorMessage="1" prompt="Automatically calculates total number of days an employee was absent this month in this column" sqref="AH6" xr:uid="{00000000-0002-0000-0B00-000001000000}"/>
    <dataValidation allowBlank="1" showInputMessage="1" showErrorMessage="1" prompt="Track December absence in this worksheet" sqref="A1" xr:uid="{00000000-0002-0000-0B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B00-000003000000}"/>
    <dataValidation allowBlank="1" showInputMessage="1" showErrorMessage="1" prompt="Automatically updated title is in this cell. To modify the title, update B1 on January worksheet" sqref="B1" xr:uid="{00000000-0002-0000-0B00-000004000000}"/>
    <dataValidation allowBlank="1" showInputMessage="1" showErrorMessage="1" prompt="The letter &quot;V&quot; indicates absence due to vacation" sqref="C2" xr:uid="{00000000-0002-0000-0B00-000005000000}"/>
    <dataValidation allowBlank="1" showInputMessage="1" showErrorMessage="1" prompt="The letter &quot;P&quot; indicates absence due to personal reasons" sqref="G2" xr:uid="{00000000-0002-0000-0B00-000006000000}"/>
    <dataValidation allowBlank="1" showInputMessage="1" showErrorMessage="1" prompt="The letter &quot;S&quot; indicates absence due to illness" sqref="K2" xr:uid="{00000000-0002-0000-0B00-000007000000}"/>
    <dataValidation allowBlank="1" showInputMessage="1" showErrorMessage="1" prompt="Enter a letter and customize the label at right to add another key item" sqref="N2 R2" xr:uid="{00000000-0002-0000-0B00-000008000000}"/>
    <dataValidation allowBlank="1" showInputMessage="1" showErrorMessage="1" prompt="Enter a label to describe the custom key at left" sqref="O2:Q2 S2:U2" xr:uid="{00000000-0002-0000-0B00-000009000000}"/>
    <dataValidation allowBlank="1" showInputMessage="1" showErrorMessage="1" prompt="This row defines the keys used in the table: cell C2 is Vacation, G2 is Personal, &amp; K2 is Sick leave. Cells N2 &amp; R2 are customizable " sqref="B2" xr:uid="{00000000-0002-0000-0B00-00000A000000}"/>
    <dataValidation allowBlank="1" showInputMessage="1" showErrorMessage="1" prompt="Month name for this absence schedule is in this cell. Absence totals for this month are in last cell of the table. Select employee names in table column B" sqref="B4" xr:uid="{00000000-0002-0000-0B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B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B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'Employee Names'!$B$4:$B$8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heetViews>
  <sheetFormatPr defaultRowHeight="30" customHeight="1" x14ac:dyDescent="0.25"/>
  <cols>
    <col min="1" max="1" width="2.7109375" customWidth="1"/>
    <col min="2" max="2" width="30.7109375" customWidth="1"/>
    <col min="3" max="3" width="2.7109375" customWidth="1"/>
  </cols>
  <sheetData>
    <row r="1" spans="2:2" ht="50.1" customHeight="1" x14ac:dyDescent="0.25">
      <c r="B1" s="20" t="s">
        <v>63</v>
      </c>
    </row>
    <row r="2" spans="2:2" ht="15" customHeight="1" x14ac:dyDescent="0.25"/>
    <row r="3" spans="2:2" ht="30" customHeight="1" x14ac:dyDescent="0.25">
      <c r="B3" t="s">
        <v>63</v>
      </c>
    </row>
    <row r="4" spans="2:2" ht="30" customHeight="1" x14ac:dyDescent="0.25">
      <c r="B4" s="1" t="s">
        <v>34</v>
      </c>
    </row>
    <row r="5" spans="2:2" ht="30" customHeight="1" x14ac:dyDescent="0.25">
      <c r="B5" s="1" t="s">
        <v>37</v>
      </c>
    </row>
    <row r="6" spans="2:2" ht="30" customHeight="1" x14ac:dyDescent="0.25">
      <c r="B6" s="1" t="s">
        <v>48</v>
      </c>
    </row>
    <row r="7" spans="2:2" ht="30" customHeight="1" x14ac:dyDescent="0.25">
      <c r="B7" s="1" t="s">
        <v>49</v>
      </c>
    </row>
    <row r="8" spans="2:2" ht="30" customHeight="1" x14ac:dyDescent="0.25">
      <c r="B8" s="1" t="s">
        <v>50</v>
      </c>
    </row>
  </sheetData>
  <dataValidations count="3">
    <dataValidation allowBlank="1" showInputMessage="1" showErrorMessage="1" prompt="Employee names title" sqref="B1" xr:uid="{00000000-0002-0000-0C00-000000000000}"/>
    <dataValidation allowBlank="1" showInputMessage="1" showErrorMessage="1" prompt="Enter employee names in the employee name table in this worksheet. These names are used as options in Column B of each month's absence table" sqref="A1" xr:uid="{00000000-0002-0000-0C00-000001000000}"/>
    <dataValidation allowBlank="1" showInputMessage="1" showErrorMessage="1" prompt="Enter employee names in this column" sqref="B3" xr:uid="{00000000-0002-0000-0C00-000002000000}"/>
  </dataValidations>
  <pageMargins left="0.7" right="0.7" top="0.75" bottom="0.75" header="0.3" footer="0.3"/>
  <pageSetup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AH12"/>
  <sheetViews>
    <sheetView showGridLines="0" zoomScaleNormal="100" workbookViewId="0"/>
  </sheetViews>
  <sheetFormatPr defaultColWidth="9.140625"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row>
    <row r="4" spans="2:34" ht="30" customHeight="1" x14ac:dyDescent="0.25">
      <c r="B4" s="11" t="s">
        <v>47</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TEXT(WEEKDAY(DATE(CalendarYear,2,1),1),"aaa")</f>
        <v>Mon</v>
      </c>
      <c r="D5" s="2" t="str">
        <f>TEXT(WEEKDAY(DATE(CalendarYear,2,2),1),"aaa")</f>
        <v>Tue</v>
      </c>
      <c r="E5" s="2" t="str">
        <f>TEXT(WEEKDAY(DATE(CalendarYear,2,3),1),"aaa")</f>
        <v>Wed</v>
      </c>
      <c r="F5" s="2" t="str">
        <f>TEXT(WEEKDAY(DATE(CalendarYear,2,4),1),"aaa")</f>
        <v>Thu</v>
      </c>
      <c r="G5" s="2" t="str">
        <f>TEXT(WEEKDAY(DATE(CalendarYear,2,5),1),"aaa")</f>
        <v>Fri</v>
      </c>
      <c r="H5" s="2" t="str">
        <f>TEXT(WEEKDAY(DATE(CalendarYear,2,6),1),"aaa")</f>
        <v>Sat</v>
      </c>
      <c r="I5" s="2" t="str">
        <f>TEXT(WEEKDAY(DATE(CalendarYear,2,7),1),"aaa")</f>
        <v>Sun</v>
      </c>
      <c r="J5" s="2" t="str">
        <f>TEXT(WEEKDAY(DATE(CalendarYear,2,8),1),"aaa")</f>
        <v>Mon</v>
      </c>
      <c r="K5" s="2" t="str">
        <f>TEXT(WEEKDAY(DATE(CalendarYear,2,9),1),"aaa")</f>
        <v>Tue</v>
      </c>
      <c r="L5" s="2" t="str">
        <f>TEXT(WEEKDAY(DATE(CalendarYear,2,10),1),"aaa")</f>
        <v>Wed</v>
      </c>
      <c r="M5" s="2" t="str">
        <f>TEXT(WEEKDAY(DATE(CalendarYear,2,11),1),"aaa")</f>
        <v>Thu</v>
      </c>
      <c r="N5" s="2" t="str">
        <f>TEXT(WEEKDAY(DATE(CalendarYear,2,12),1),"aaa")</f>
        <v>Fri</v>
      </c>
      <c r="O5" s="2" t="str">
        <f>TEXT(WEEKDAY(DATE(CalendarYear,2,13),1),"aaa")</f>
        <v>Sat</v>
      </c>
      <c r="P5" s="2" t="str">
        <f>TEXT(WEEKDAY(DATE(CalendarYear,2,14),1),"aaa")</f>
        <v>Sun</v>
      </c>
      <c r="Q5" s="2" t="str">
        <f>TEXT(WEEKDAY(DATE(CalendarYear,2,15),1),"aaa")</f>
        <v>Mon</v>
      </c>
      <c r="R5" s="2" t="str">
        <f>TEXT(WEEKDAY(DATE(CalendarYear,2,16),1),"aaa")</f>
        <v>Tue</v>
      </c>
      <c r="S5" s="2" t="str">
        <f>TEXT(WEEKDAY(DATE(CalendarYear,2,17),1),"aaa")</f>
        <v>Wed</v>
      </c>
      <c r="T5" s="2" t="str">
        <f>TEXT(WEEKDAY(DATE(CalendarYear,2,18),1),"aaa")</f>
        <v>Thu</v>
      </c>
      <c r="U5" s="2" t="str">
        <f>TEXT(WEEKDAY(DATE(CalendarYear,2,19),1),"aaa")</f>
        <v>Fri</v>
      </c>
      <c r="V5" s="2" t="str">
        <f>TEXT(WEEKDAY(DATE(CalendarYear,2,20),1),"aaa")</f>
        <v>Sat</v>
      </c>
      <c r="W5" s="2" t="str">
        <f>TEXT(WEEKDAY(DATE(CalendarYear,2,21),1),"aaa")</f>
        <v>Sun</v>
      </c>
      <c r="X5" s="2" t="str">
        <f>TEXT(WEEKDAY(DATE(CalendarYear,2,22),1),"aaa")</f>
        <v>Mon</v>
      </c>
      <c r="Y5" s="2" t="str">
        <f>TEXT(WEEKDAY(DATE(CalendarYear,2,23),1),"aaa")</f>
        <v>Tue</v>
      </c>
      <c r="Z5" s="2" t="str">
        <f>TEXT(WEEKDAY(DATE(CalendarYear,2,24),1),"aaa")</f>
        <v>Wed</v>
      </c>
      <c r="AA5" s="2" t="str">
        <f>TEXT(WEEKDAY(DATE(CalendarYear,2,25),1),"aaa")</f>
        <v>Thu</v>
      </c>
      <c r="AB5" s="2" t="str">
        <f>TEXT(WEEKDAY(DATE(CalendarYear,2,26),1),"aaa")</f>
        <v>Fri</v>
      </c>
      <c r="AC5" s="2" t="str">
        <f>TEXT(WEEKDAY(DATE(CalendarYear,2,27),1),"aaa")</f>
        <v>Sat</v>
      </c>
      <c r="AD5" s="2" t="str">
        <f>TEXT(WEEKDAY(DATE(CalendarYear,2,28),1),"aaa")</f>
        <v>Sun</v>
      </c>
      <c r="AE5" s="2" t="str">
        <f>TEXT(WEEKDAY(DATE(CalendarYear,2,29),1),"aaa")</f>
        <v>Mon</v>
      </c>
      <c r="AF5" s="2"/>
      <c r="AG5" s="2"/>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38</v>
      </c>
      <c r="AG6" s="3" t="s">
        <v>39</v>
      </c>
      <c r="AH6" s="15" t="s">
        <v>33</v>
      </c>
    </row>
    <row r="7" spans="2:34" ht="30" customHeight="1" x14ac:dyDescent="0.25">
      <c r="B7" s="16" t="s">
        <v>34</v>
      </c>
      <c r="C7" s="3"/>
      <c r="D7" s="3"/>
      <c r="E7" s="3" t="s">
        <v>36</v>
      </c>
      <c r="F7" s="3" t="s">
        <v>36</v>
      </c>
      <c r="G7" s="3" t="s">
        <v>36</v>
      </c>
      <c r="H7" s="3" t="s">
        <v>36</v>
      </c>
      <c r="I7" s="3"/>
      <c r="J7" s="3"/>
      <c r="K7" s="3"/>
      <c r="L7" s="3"/>
      <c r="M7" s="3"/>
      <c r="N7" s="3"/>
      <c r="O7" s="3" t="s">
        <v>36</v>
      </c>
      <c r="P7" s="3"/>
      <c r="Q7" s="3"/>
      <c r="R7" s="3"/>
      <c r="S7" s="3"/>
      <c r="T7" s="3"/>
      <c r="U7" s="3"/>
      <c r="V7" s="3"/>
      <c r="W7" s="3"/>
      <c r="X7" s="3"/>
      <c r="Y7" s="3"/>
      <c r="Z7" s="3"/>
      <c r="AA7" s="3"/>
      <c r="AB7" s="3"/>
      <c r="AC7" s="3"/>
      <c r="AD7" s="3"/>
      <c r="AE7" s="3"/>
      <c r="AF7" s="3"/>
      <c r="AG7" s="3"/>
      <c r="AH7" s="9">
        <f>COUNTA(February[[#This Row],[1]:[29]])</f>
        <v>5</v>
      </c>
    </row>
    <row r="8" spans="2:34" ht="30" customHeight="1" x14ac:dyDescent="0.25">
      <c r="B8" s="16" t="s">
        <v>37</v>
      </c>
      <c r="C8" s="3"/>
      <c r="D8" s="3"/>
      <c r="E8" s="3"/>
      <c r="F8" s="3"/>
      <c r="G8" s="3" t="s">
        <v>35</v>
      </c>
      <c r="H8" s="3" t="s">
        <v>35</v>
      </c>
      <c r="I8" s="3"/>
      <c r="J8" s="3"/>
      <c r="K8" s="3"/>
      <c r="L8" s="3"/>
      <c r="M8" s="3" t="s">
        <v>40</v>
      </c>
      <c r="N8" s="3"/>
      <c r="O8" s="3"/>
      <c r="P8" s="3"/>
      <c r="Q8" s="3"/>
      <c r="R8" s="3"/>
      <c r="S8" s="3"/>
      <c r="T8" s="3"/>
      <c r="U8" s="3"/>
      <c r="V8" s="3" t="s">
        <v>35</v>
      </c>
      <c r="W8" s="3"/>
      <c r="X8" s="3"/>
      <c r="Y8" s="3"/>
      <c r="Z8" s="3"/>
      <c r="AA8" s="3" t="s">
        <v>36</v>
      </c>
      <c r="AB8" s="3" t="s">
        <v>36</v>
      </c>
      <c r="AC8" s="3" t="s">
        <v>36</v>
      </c>
      <c r="AD8" s="3"/>
      <c r="AE8" s="3"/>
      <c r="AF8" s="3"/>
      <c r="AG8" s="3"/>
      <c r="AH8" s="9">
        <f>COUNTA(February[[#This Row],[1]:[29]])</f>
        <v>7</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COUNTA(February[[#This Row],[1]:[29]])</f>
        <v>0</v>
      </c>
    </row>
    <row r="10" spans="2:34" ht="30" customHeight="1" x14ac:dyDescent="0.25">
      <c r="B10" s="16" t="s">
        <v>49</v>
      </c>
      <c r="C10" s="3"/>
      <c r="D10" s="3"/>
      <c r="E10" s="3" t="s">
        <v>35</v>
      </c>
      <c r="F10" s="3"/>
      <c r="G10" s="3"/>
      <c r="H10" s="3"/>
      <c r="I10" s="3"/>
      <c r="J10" s="3"/>
      <c r="K10" s="3"/>
      <c r="L10" s="3"/>
      <c r="M10" s="3"/>
      <c r="N10" s="3"/>
      <c r="O10" s="3"/>
      <c r="P10" s="3" t="s">
        <v>35</v>
      </c>
      <c r="Q10" s="3"/>
      <c r="R10" s="3"/>
      <c r="S10" s="3"/>
      <c r="T10" s="3" t="s">
        <v>40</v>
      </c>
      <c r="U10" s="3"/>
      <c r="V10" s="3"/>
      <c r="W10" s="3"/>
      <c r="X10" s="3"/>
      <c r="Y10" s="3"/>
      <c r="Z10" s="3"/>
      <c r="AA10" s="3"/>
      <c r="AB10" s="3"/>
      <c r="AC10" s="3"/>
      <c r="AD10" s="3" t="s">
        <v>35</v>
      </c>
      <c r="AE10" s="3"/>
      <c r="AF10" s="3"/>
      <c r="AG10" s="3"/>
      <c r="AH10" s="9">
        <f>COUNTA(February[[#This Row],[1]:[29]])</f>
        <v>4</v>
      </c>
    </row>
    <row r="11" spans="2:34" ht="30" customHeight="1" x14ac:dyDescent="0.25">
      <c r="B11" s="16" t="s">
        <v>50</v>
      </c>
      <c r="C11" s="3"/>
      <c r="D11" s="3"/>
      <c r="E11" s="3"/>
      <c r="F11" s="3"/>
      <c r="G11" s="3"/>
      <c r="H11" s="3"/>
      <c r="I11" s="3"/>
      <c r="J11" s="3" t="s">
        <v>36</v>
      </c>
      <c r="K11" s="3" t="s">
        <v>36</v>
      </c>
      <c r="L11" s="3" t="s">
        <v>36</v>
      </c>
      <c r="M11" s="3" t="s">
        <v>36</v>
      </c>
      <c r="N11" s="3"/>
      <c r="O11" s="3"/>
      <c r="P11" s="3"/>
      <c r="Q11" s="3"/>
      <c r="R11" s="3"/>
      <c r="S11" s="3"/>
      <c r="T11" s="3"/>
      <c r="U11" s="3"/>
      <c r="V11" s="3"/>
      <c r="W11" s="3"/>
      <c r="X11" s="3"/>
      <c r="Y11" s="3"/>
      <c r="Z11" s="3" t="s">
        <v>35</v>
      </c>
      <c r="AA11" s="3"/>
      <c r="AB11" s="3"/>
      <c r="AC11" s="3"/>
      <c r="AD11" s="3"/>
      <c r="AE11" s="3"/>
      <c r="AF11" s="3"/>
      <c r="AG11" s="3"/>
      <c r="AH11" s="9">
        <f>COUNTA(February[[#This Row],[1]:[29]])</f>
        <v>5</v>
      </c>
    </row>
    <row r="12" spans="2:34" ht="30" customHeight="1" x14ac:dyDescent="0.25">
      <c r="B12" s="19" t="str">
        <f>MonthName&amp;" Total"</f>
        <v>February Total</v>
      </c>
      <c r="C12" s="12">
        <f>SUBTOTAL(103,February[1])</f>
        <v>0</v>
      </c>
      <c r="D12" s="12">
        <f>SUBTOTAL(103,February[2])</f>
        <v>0</v>
      </c>
      <c r="E12" s="12">
        <f>SUBTOTAL(103,February[3])</f>
        <v>2</v>
      </c>
      <c r="F12" s="12">
        <f>SUBTOTAL(103,February[4])</f>
        <v>1</v>
      </c>
      <c r="G12" s="12">
        <f>SUBTOTAL(103,February[5])</f>
        <v>2</v>
      </c>
      <c r="H12" s="12">
        <f>SUBTOTAL(103,February[6])</f>
        <v>2</v>
      </c>
      <c r="I12" s="12">
        <f>SUBTOTAL(103,February[7])</f>
        <v>0</v>
      </c>
      <c r="J12" s="12">
        <f>SUBTOTAL(103,February[8])</f>
        <v>1</v>
      </c>
      <c r="K12" s="12">
        <f>SUBTOTAL(103,February[9])</f>
        <v>1</v>
      </c>
      <c r="L12" s="12">
        <f>SUBTOTAL(103,February[10])</f>
        <v>1</v>
      </c>
      <c r="M12" s="12">
        <f>SUBTOTAL(103,February[11])</f>
        <v>2</v>
      </c>
      <c r="N12" s="12">
        <f>SUBTOTAL(103,February[12])</f>
        <v>0</v>
      </c>
      <c r="O12" s="12">
        <f>SUBTOTAL(103,February[13])</f>
        <v>1</v>
      </c>
      <c r="P12" s="12">
        <f>SUBTOTAL(103,February[14])</f>
        <v>1</v>
      </c>
      <c r="Q12" s="12">
        <f>SUBTOTAL(103,February[15])</f>
        <v>0</v>
      </c>
      <c r="R12" s="12">
        <f>SUBTOTAL(103,February[16])</f>
        <v>0</v>
      </c>
      <c r="S12" s="12">
        <f>SUBTOTAL(103,February[17])</f>
        <v>0</v>
      </c>
      <c r="T12" s="12">
        <f>SUBTOTAL(103,February[18])</f>
        <v>1</v>
      </c>
      <c r="U12" s="12">
        <f>SUBTOTAL(103,February[19])</f>
        <v>0</v>
      </c>
      <c r="V12" s="12">
        <f>SUBTOTAL(103,February[20])</f>
        <v>1</v>
      </c>
      <c r="W12" s="12">
        <f>SUBTOTAL(103,February[21])</f>
        <v>0</v>
      </c>
      <c r="X12" s="12">
        <f>SUBTOTAL(103,February[22])</f>
        <v>0</v>
      </c>
      <c r="Y12" s="12">
        <f>SUBTOTAL(103,February[23])</f>
        <v>0</v>
      </c>
      <c r="Z12" s="12">
        <f>SUBTOTAL(103,February[24])</f>
        <v>1</v>
      </c>
      <c r="AA12" s="12">
        <f>SUBTOTAL(103,February[25])</f>
        <v>1</v>
      </c>
      <c r="AB12" s="12">
        <f>SUBTOTAL(103,February[26])</f>
        <v>1</v>
      </c>
      <c r="AC12" s="12">
        <f>SUBTOTAL(103,February[27])</f>
        <v>1</v>
      </c>
      <c r="AD12" s="12">
        <f>SUBTOTAL(103,February[28])</f>
        <v>1</v>
      </c>
      <c r="AE12" s="12">
        <f>SUBTOTAL(103,February[29])</f>
        <v>0</v>
      </c>
      <c r="AF12" s="12"/>
      <c r="AG12" s="12"/>
      <c r="AH12" s="12">
        <f>SUBTOTAL(109,February[Total Days])</f>
        <v>21</v>
      </c>
    </row>
  </sheetData>
  <mergeCells count="6">
    <mergeCell ref="C4:AG4"/>
    <mergeCell ref="D2:F2"/>
    <mergeCell ref="H2:J2"/>
    <mergeCell ref="L2:M2"/>
    <mergeCell ref="O2:Q2"/>
    <mergeCell ref="S2:U2"/>
  </mergeCells>
  <conditionalFormatting sqref="AE6">
    <cfRule type="expression" dxfId="815" priority="16">
      <formula>MONTH(DATE(CalendarYear,2,29))&lt;&gt;2</formula>
    </cfRule>
  </conditionalFormatting>
  <conditionalFormatting sqref="AE5">
    <cfRule type="expression" dxfId="814" priority="15">
      <formula>MONTH(DATE(CalendarYear,2,29))&lt;&gt;2</formula>
    </cfRule>
  </conditionalFormatting>
  <conditionalFormatting sqref="C7:AG11">
    <cfRule type="expression" priority="2" stopIfTrue="1">
      <formula>C7=""</formula>
    </cfRule>
    <cfRule type="expression" dxfId="813" priority="3" stopIfTrue="1">
      <formula>C7=KeyCustom2</formula>
    </cfRule>
  </conditionalFormatting>
  <conditionalFormatting sqref="C7:AG11">
    <cfRule type="expression" dxfId="812" priority="5" stopIfTrue="1">
      <formula>C7=KeyCustom1</formula>
    </cfRule>
    <cfRule type="expression" dxfId="811" priority="6" stopIfTrue="1">
      <formula>C7=KeySick</formula>
    </cfRule>
    <cfRule type="expression" dxfId="810" priority="7" stopIfTrue="1">
      <formula>C7=KeyPersonal</formula>
    </cfRule>
    <cfRule type="expression" dxfId="809" priority="8" stopIfTrue="1">
      <formula>C7=KeyVacation</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utomatically updated year based on year entered in January worksheet" sqref="AH4" xr:uid="{00000000-0002-0000-0100-000000000000}"/>
    <dataValidation allowBlank="1" showInputMessage="1" showErrorMessage="1" prompt="Track February absence in this worksheet" sqref="A1" xr:uid="{00000000-0002-0000-0100-000001000000}"/>
    <dataValidation allowBlank="1" showInputMessage="1" showErrorMessage="1" prompt="Automatically calculates total number of days an employee was absent this month in this column" sqref="AH6" xr:uid="{00000000-0002-0000-0100-000002000000}"/>
    <dataValidation allowBlank="1" showInputMessage="1" showErrorMessage="1" prompt="Automatically updated title is in this cell. To modify the title, update B1 on January worksheet" sqref="B1" xr:uid="{00000000-0002-0000-0100-000003000000}"/>
    <dataValidation allowBlank="1" showInputMessage="1" showErrorMessage="1" prompt="Month name for this absence schedule is in this cell. Absence totals for this month are in last cell of the table. Select employee names in table column B" sqref="B4" xr:uid="{00000000-0002-0000-0100-000004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100-000005000000}"/>
    <dataValidation allowBlank="1" showInputMessage="1" showErrorMessage="1" prompt="This row defines the keys used in the table: cell C2 is Vacation, G2 is Personal, &amp; K2 is Sick leave. Cells N2 &amp; R2 are customizable " sqref="B2" xr:uid="{00000000-0002-0000-0100-000006000000}"/>
    <dataValidation allowBlank="1" showInputMessage="1" showErrorMessage="1" prompt="Enter a label to describe the custom key at left" sqref="O2:Q2 S2:U2" xr:uid="{00000000-0002-0000-0100-000007000000}"/>
    <dataValidation allowBlank="1" showInputMessage="1" showErrorMessage="1" prompt="Enter a letter and customize the label at right to add another key item" sqref="N2 R2" xr:uid="{00000000-0002-0000-0100-000008000000}"/>
    <dataValidation allowBlank="1" showInputMessage="1" showErrorMessage="1" prompt="The letter &quot;S&quot; indicates absence due to illness" sqref="K2" xr:uid="{00000000-0002-0000-0100-000009000000}"/>
    <dataValidation allowBlank="1" showInputMessage="1" showErrorMessage="1" prompt="The letter &quot;P&quot; indicates absence due to personal reasons" sqref="G2" xr:uid="{00000000-0002-0000-0100-00000A000000}"/>
    <dataValidation allowBlank="1" showInputMessage="1" showErrorMessage="1" prompt="The letter &quot;V&quot; indicates absence due to vacation" sqref="C2" xr:uid="{00000000-0002-0000-01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1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100-00000D000000}"/>
  </dataValidations>
  <printOptions horizontalCentered="1"/>
  <pageMargins left="0.25" right="0.25" top="0.75" bottom="0.75" header="0.3" footer="0.3"/>
  <pageSetup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'Employee Names'!$B$4:$B$8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51</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TEXT(WEEKDAY(DATE(CalendarYear,3,1),1),"aaa")</f>
        <v>Tue</v>
      </c>
      <c r="D5" s="2" t="str">
        <f>TEXT(WEEKDAY(DATE(CalendarYear,3,2),1),"aaa")</f>
        <v>Wed</v>
      </c>
      <c r="E5" s="2" t="str">
        <f>TEXT(WEEKDAY(DATE(CalendarYear,3,3),1),"aaa")</f>
        <v>Thu</v>
      </c>
      <c r="F5" s="2" t="str">
        <f>TEXT(WEEKDAY(DATE(CalendarYear,3,4),1),"aaa")</f>
        <v>Fri</v>
      </c>
      <c r="G5" s="2" t="str">
        <f>TEXT(WEEKDAY(DATE(CalendarYear,3,5),1),"aaa")</f>
        <v>Sat</v>
      </c>
      <c r="H5" s="2" t="str">
        <f>TEXT(WEEKDAY(DATE(CalendarYear,3,6),1),"aaa")</f>
        <v>Sun</v>
      </c>
      <c r="I5" s="2" t="str">
        <f>TEXT(WEEKDAY(DATE(CalendarYear,3,7),1),"aaa")</f>
        <v>Mon</v>
      </c>
      <c r="J5" s="2" t="str">
        <f>TEXT(WEEKDAY(DATE(CalendarYear,3,8),1),"aaa")</f>
        <v>Tue</v>
      </c>
      <c r="K5" s="2" t="str">
        <f>TEXT(WEEKDAY(DATE(CalendarYear,3,9),1),"aaa")</f>
        <v>Wed</v>
      </c>
      <c r="L5" s="2" t="str">
        <f>TEXT(WEEKDAY(DATE(CalendarYear,3,10),1),"aaa")</f>
        <v>Thu</v>
      </c>
      <c r="M5" s="2" t="str">
        <f>TEXT(WEEKDAY(DATE(CalendarYear,3,11),1),"aaa")</f>
        <v>Fri</v>
      </c>
      <c r="N5" s="2" t="str">
        <f>TEXT(WEEKDAY(DATE(CalendarYear,3,12),1),"aaa")</f>
        <v>Sat</v>
      </c>
      <c r="O5" s="2" t="str">
        <f>TEXT(WEEKDAY(DATE(CalendarYear,3,13),1),"aaa")</f>
        <v>Sun</v>
      </c>
      <c r="P5" s="2" t="str">
        <f>TEXT(WEEKDAY(DATE(CalendarYear,3,14),1),"aaa")</f>
        <v>Mon</v>
      </c>
      <c r="Q5" s="2" t="str">
        <f>TEXT(WEEKDAY(DATE(CalendarYear,3,15),1),"aaa")</f>
        <v>Tue</v>
      </c>
      <c r="R5" s="2" t="str">
        <f>TEXT(WEEKDAY(DATE(CalendarYear,3,16),1),"aaa")</f>
        <v>Wed</v>
      </c>
      <c r="S5" s="2" t="str">
        <f>TEXT(WEEKDAY(DATE(CalendarYear,3,17),1),"aaa")</f>
        <v>Thu</v>
      </c>
      <c r="T5" s="2" t="str">
        <f>TEXT(WEEKDAY(DATE(CalendarYear,3,18),1),"aaa")</f>
        <v>Fri</v>
      </c>
      <c r="U5" s="2" t="str">
        <f>TEXT(WEEKDAY(DATE(CalendarYear,3,19),1),"aaa")</f>
        <v>Sat</v>
      </c>
      <c r="V5" s="2" t="str">
        <f>TEXT(WEEKDAY(DATE(CalendarYear,3,20),1),"aaa")</f>
        <v>Sun</v>
      </c>
      <c r="W5" s="2" t="str">
        <f>TEXT(WEEKDAY(DATE(CalendarYear,3,21),1),"aaa")</f>
        <v>Mon</v>
      </c>
      <c r="X5" s="2" t="str">
        <f>TEXT(WEEKDAY(DATE(CalendarYear,3,22),1),"aaa")</f>
        <v>Tue</v>
      </c>
      <c r="Y5" s="2" t="str">
        <f>TEXT(WEEKDAY(DATE(CalendarYear,3,23),1),"aaa")</f>
        <v>Wed</v>
      </c>
      <c r="Z5" s="2" t="str">
        <f>TEXT(WEEKDAY(DATE(CalendarYear,3,24),1),"aaa")</f>
        <v>Thu</v>
      </c>
      <c r="AA5" s="2" t="str">
        <f>TEXT(WEEKDAY(DATE(CalendarYear,3,25),1),"aaa")</f>
        <v>Fri</v>
      </c>
      <c r="AB5" s="2" t="str">
        <f>TEXT(WEEKDAY(DATE(CalendarYear,3,26),1),"aaa")</f>
        <v>Sat</v>
      </c>
      <c r="AC5" s="2" t="str">
        <f>TEXT(WEEKDAY(DATE(CalendarYear,3,27),1),"aaa")</f>
        <v>Sun</v>
      </c>
      <c r="AD5" s="2" t="str">
        <f>TEXT(WEEKDAY(DATE(CalendarYear,3,28),1),"aaa")</f>
        <v>Mon</v>
      </c>
      <c r="AE5" s="2" t="str">
        <f>TEXT(WEEKDAY(DATE(CalendarYear,3,29),1),"aaa")</f>
        <v>Tue</v>
      </c>
      <c r="AF5" s="2" t="str">
        <f>TEXT(WEEKDAY(DATE(CalendarYear,3,30),1),"aaa")</f>
        <v>Wed</v>
      </c>
      <c r="AG5" s="2" t="str">
        <f>TEXT(WEEKDAY(DATE(CalendarYear,3,31),1),"aaa")</f>
        <v>Thu</v>
      </c>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COUNTA(March[[#This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COUNTA(March[[#This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COUNTA(March[[#This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COUNTA(March[[#This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COUNTA(March[[#This Row],[1]:[31]])</f>
        <v>0</v>
      </c>
    </row>
    <row r="12" spans="2:34" ht="30" customHeight="1" x14ac:dyDescent="0.25">
      <c r="B12" s="19" t="str">
        <f>MonthName&amp;" Total"</f>
        <v>March Total</v>
      </c>
      <c r="C12" s="12">
        <f>SUBTOTAL(103,March[1])</f>
        <v>0</v>
      </c>
      <c r="D12" s="12">
        <f>SUBTOTAL(103,March[2])</f>
        <v>0</v>
      </c>
      <c r="E12" s="12">
        <f>SUBTOTAL(103,March[3])</f>
        <v>0</v>
      </c>
      <c r="F12" s="12">
        <f>SUBTOTAL(103,March[4])</f>
        <v>0</v>
      </c>
      <c r="G12" s="12">
        <f>SUBTOTAL(103,March[5])</f>
        <v>0</v>
      </c>
      <c r="H12" s="12">
        <f>SUBTOTAL(103,March[6])</f>
        <v>0</v>
      </c>
      <c r="I12" s="12">
        <f>SUBTOTAL(103,March[7])</f>
        <v>0</v>
      </c>
      <c r="J12" s="12">
        <f>SUBTOTAL(103,March[8])</f>
        <v>0</v>
      </c>
      <c r="K12" s="12">
        <f>SUBTOTAL(103,March[9])</f>
        <v>0</v>
      </c>
      <c r="L12" s="12">
        <f>SUBTOTAL(103,March[10])</f>
        <v>0</v>
      </c>
      <c r="M12" s="12">
        <f>SUBTOTAL(103,March[11])</f>
        <v>0</v>
      </c>
      <c r="N12" s="12">
        <f>SUBTOTAL(103,March[12])</f>
        <v>0</v>
      </c>
      <c r="O12" s="12">
        <f>SUBTOTAL(103,March[13])</f>
        <v>0</v>
      </c>
      <c r="P12" s="12">
        <f>SUBTOTAL(103,March[14])</f>
        <v>0</v>
      </c>
      <c r="Q12" s="12">
        <f>SUBTOTAL(103,March[15])</f>
        <v>0</v>
      </c>
      <c r="R12" s="12">
        <f>SUBTOTAL(103,March[16])</f>
        <v>0</v>
      </c>
      <c r="S12" s="12">
        <f>SUBTOTAL(103,March[17])</f>
        <v>0</v>
      </c>
      <c r="T12" s="12">
        <f>SUBTOTAL(103,March[18])</f>
        <v>0</v>
      </c>
      <c r="U12" s="12">
        <f>SUBTOTAL(103,March[19])</f>
        <v>0</v>
      </c>
      <c r="V12" s="12">
        <f>SUBTOTAL(103,March[20])</f>
        <v>0</v>
      </c>
      <c r="W12" s="12">
        <f>SUBTOTAL(103,March[21])</f>
        <v>0</v>
      </c>
      <c r="X12" s="12">
        <f>SUBTOTAL(103,March[22])</f>
        <v>0</v>
      </c>
      <c r="Y12" s="12">
        <f>SUBTOTAL(103,March[23])</f>
        <v>0</v>
      </c>
      <c r="Z12" s="12">
        <f>SUBTOTAL(103,March[24])</f>
        <v>0</v>
      </c>
      <c r="AA12" s="12">
        <f>SUBTOTAL(103,March[25])</f>
        <v>0</v>
      </c>
      <c r="AB12" s="12">
        <f>SUBTOTAL(103,March[26])</f>
        <v>0</v>
      </c>
      <c r="AC12" s="12">
        <f>SUBTOTAL(103,March[27])</f>
        <v>0</v>
      </c>
      <c r="AD12" s="12">
        <f>SUBTOTAL(103,March[28])</f>
        <v>0</v>
      </c>
      <c r="AE12" s="12">
        <f>SUBTOTAL(103,March[29])</f>
        <v>0</v>
      </c>
      <c r="AF12" s="12">
        <f>SUBTOTAL(109,March[30])</f>
        <v>0</v>
      </c>
      <c r="AG12" s="12">
        <f>SUBTOTAL(109,March[31])</f>
        <v>0</v>
      </c>
      <c r="AH12" s="12">
        <f>SUBTOTAL(109,March[Total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39" priority="2" stopIfTrue="1">
      <formula>C7=KeyCustom2</formula>
    </cfRule>
    <cfRule type="expression" dxfId="738" priority="3" stopIfTrue="1">
      <formula>C7=KeyCustom1</formula>
    </cfRule>
    <cfRule type="expression" dxfId="737" priority="4" stopIfTrue="1">
      <formula>C7=KeySick</formula>
    </cfRule>
    <cfRule type="expression" dxfId="736" priority="5" stopIfTrue="1">
      <formula>C7=KeyPersonal</formula>
    </cfRule>
    <cfRule type="expression" dxfId="73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200-000000000000}"/>
    <dataValidation allowBlank="1" showInputMessage="1" showErrorMessage="1" prompt="Weekdays in this row are automatically updated for the month according to the year in AH4. Each day of the month is a column to note an employee's absence and absence type" sqref="C5" xr:uid="{00000000-0002-0000-0200-000001000000}"/>
    <dataValidation allowBlank="1" showInputMessage="1" showErrorMessage="1" prompt="Month name for this absence schedule is in this cell. Absence totals for this month are in last cell of the table. Select employee names in table column B" sqref="B4" xr:uid="{00000000-0002-0000-0200-000002000000}"/>
    <dataValidation allowBlank="1" showInputMessage="1" showErrorMessage="1" prompt="This row defines the keys used in the table: cell C2 is Vacation, G2 is Personal, &amp; K2 is Sick leave. Cells N2 &amp; R2 are customizable " sqref="B2" xr:uid="{00000000-0002-0000-0200-000003000000}"/>
    <dataValidation allowBlank="1" showInputMessage="1" showErrorMessage="1" prompt="Enter a label to describe the custom key at left" sqref="O2:Q2 S2:U2" xr:uid="{00000000-0002-0000-0200-000004000000}"/>
    <dataValidation allowBlank="1" showInputMessage="1" showErrorMessage="1" prompt="Enter a letter and customize the label at right to add another key item" sqref="N2 R2" xr:uid="{00000000-0002-0000-0200-000005000000}"/>
    <dataValidation allowBlank="1" showInputMessage="1" showErrorMessage="1" prompt="The letter &quot;S&quot; indicates absence due to illness" sqref="K2" xr:uid="{00000000-0002-0000-0200-000006000000}"/>
    <dataValidation allowBlank="1" showInputMessage="1" showErrorMessage="1" prompt="The letter &quot;P&quot; indicates absence due to personal reasons" sqref="G2" xr:uid="{00000000-0002-0000-0200-000007000000}"/>
    <dataValidation allowBlank="1" showInputMessage="1" showErrorMessage="1" prompt="The letter &quot;V&quot; indicates absence due to vacation" sqref="C2" xr:uid="{00000000-0002-0000-0200-000008000000}"/>
    <dataValidation allowBlank="1" showInputMessage="1" showErrorMessage="1" prompt="Automatically updated title is in this cell. To modify the title, update B1 on January worksheet" sqref="B1" xr:uid="{00000000-0002-0000-0200-000009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200-00000A000000}"/>
    <dataValidation allowBlank="1" showInputMessage="1" showErrorMessage="1" prompt="Track March absence in this worksheet" sqref="A1" xr:uid="{00000000-0002-0000-0200-00000B000000}"/>
    <dataValidation allowBlank="1" showInputMessage="1" showErrorMessage="1" prompt="Automatically calculates total number of days an employee was absent this month in this column" sqref="AH6" xr:uid="{00000000-0002-0000-0200-00000C000000}"/>
    <dataValidation allowBlank="1" showInputMessage="1" showErrorMessage="1" prompt="Automatically updated year based on year entered in January worksheet" sqref="AH4" xr:uid="{00000000-0002-0000-02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'Employee Names'!$B$4:$B$8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52</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TEXT(WEEKDAY(DATE(CalendarYear,4,1),1),"aaa")</f>
        <v>Fri</v>
      </c>
      <c r="D5" s="2" t="str">
        <f>TEXT(WEEKDAY(DATE(CalendarYear,4,2),1),"aaa")</f>
        <v>Sat</v>
      </c>
      <c r="E5" s="2" t="str">
        <f>TEXT(WEEKDAY(DATE(CalendarYear,4,3),1),"aaa")</f>
        <v>Sun</v>
      </c>
      <c r="F5" s="2" t="str">
        <f>TEXT(WEEKDAY(DATE(CalendarYear,4,4),1),"aaa")</f>
        <v>Mon</v>
      </c>
      <c r="G5" s="2" t="str">
        <f>TEXT(WEEKDAY(DATE(CalendarYear,4,5),1),"aaa")</f>
        <v>Tue</v>
      </c>
      <c r="H5" s="2" t="str">
        <f>TEXT(WEEKDAY(DATE(CalendarYear,4,6),1),"aaa")</f>
        <v>Wed</v>
      </c>
      <c r="I5" s="2" t="str">
        <f>TEXT(WEEKDAY(DATE(CalendarYear,4,7),1),"aaa")</f>
        <v>Thu</v>
      </c>
      <c r="J5" s="2" t="str">
        <f>TEXT(WEEKDAY(DATE(CalendarYear,4,8),1),"aaa")</f>
        <v>Fri</v>
      </c>
      <c r="K5" s="2" t="str">
        <f>TEXT(WEEKDAY(DATE(CalendarYear,4,9),1),"aaa")</f>
        <v>Sat</v>
      </c>
      <c r="L5" s="2" t="str">
        <f>TEXT(WEEKDAY(DATE(CalendarYear,4,10),1),"aaa")</f>
        <v>Sun</v>
      </c>
      <c r="M5" s="2" t="str">
        <f>TEXT(WEEKDAY(DATE(CalendarYear,4,11),1),"aaa")</f>
        <v>Mon</v>
      </c>
      <c r="N5" s="2" t="str">
        <f>TEXT(WEEKDAY(DATE(CalendarYear,4,12),1),"aaa")</f>
        <v>Tue</v>
      </c>
      <c r="O5" s="2" t="str">
        <f>TEXT(WEEKDAY(DATE(CalendarYear,4,13),1),"aaa")</f>
        <v>Wed</v>
      </c>
      <c r="P5" s="2" t="str">
        <f>TEXT(WEEKDAY(DATE(CalendarYear,4,14),1),"aaa")</f>
        <v>Thu</v>
      </c>
      <c r="Q5" s="2" t="str">
        <f>TEXT(WEEKDAY(DATE(CalendarYear,4,15),1),"aaa")</f>
        <v>Fri</v>
      </c>
      <c r="R5" s="2" t="str">
        <f>TEXT(WEEKDAY(DATE(CalendarYear,4,16),1),"aaa")</f>
        <v>Sat</v>
      </c>
      <c r="S5" s="2" t="str">
        <f>TEXT(WEEKDAY(DATE(CalendarYear,4,17),1),"aaa")</f>
        <v>Sun</v>
      </c>
      <c r="T5" s="2" t="str">
        <f>TEXT(WEEKDAY(DATE(CalendarYear,4,18),1),"aaa")</f>
        <v>Mon</v>
      </c>
      <c r="U5" s="2" t="str">
        <f>TEXT(WEEKDAY(DATE(CalendarYear,4,19),1),"aaa")</f>
        <v>Tue</v>
      </c>
      <c r="V5" s="2" t="str">
        <f>TEXT(WEEKDAY(DATE(CalendarYear,4,20),1),"aaa")</f>
        <v>Wed</v>
      </c>
      <c r="W5" s="2" t="str">
        <f>TEXT(WEEKDAY(DATE(CalendarYear,4,21),1),"aaa")</f>
        <v>Thu</v>
      </c>
      <c r="X5" s="2" t="str">
        <f>TEXT(WEEKDAY(DATE(CalendarYear,4,22),1),"aaa")</f>
        <v>Fri</v>
      </c>
      <c r="Y5" s="2" t="str">
        <f>TEXT(WEEKDAY(DATE(CalendarYear,4,23),1),"aaa")</f>
        <v>Sat</v>
      </c>
      <c r="Z5" s="2" t="str">
        <f>TEXT(WEEKDAY(DATE(CalendarYear,4,24),1),"aaa")</f>
        <v>Sun</v>
      </c>
      <c r="AA5" s="2" t="str">
        <f>TEXT(WEEKDAY(DATE(CalendarYear,4,25),1),"aaa")</f>
        <v>Mon</v>
      </c>
      <c r="AB5" s="2" t="str">
        <f>TEXT(WEEKDAY(DATE(CalendarYear,4,26),1),"aaa")</f>
        <v>Tue</v>
      </c>
      <c r="AC5" s="2" t="str">
        <f>TEXT(WEEKDAY(DATE(CalendarYear,4,27),1),"aaa")</f>
        <v>Wed</v>
      </c>
      <c r="AD5" s="2" t="str">
        <f>TEXT(WEEKDAY(DATE(CalendarYear,4,28),1),"aaa")</f>
        <v>Thu</v>
      </c>
      <c r="AE5" s="2" t="str">
        <f>TEXT(WEEKDAY(DATE(CalendarYear,4,29),1),"aaa")</f>
        <v>Fri</v>
      </c>
      <c r="AF5" s="2" t="str">
        <f>TEXT(WEEKDAY(DATE(CalendarYear,4,30),1),"aaa")</f>
        <v>Sat</v>
      </c>
      <c r="AG5" s="2"/>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COUNTA(April[[#This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COUNTA(April[[#This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COUNTA(April[[#This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COUNTA(April[[#This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COUNTA(April[[#This Row],[1]:[31]])</f>
        <v>0</v>
      </c>
    </row>
    <row r="12" spans="2:34" ht="30" customHeight="1" x14ac:dyDescent="0.25">
      <c r="B12" s="19" t="str">
        <f>MonthName&amp;" Total"</f>
        <v>April Total</v>
      </c>
      <c r="C12" s="12">
        <f>SUBTOTAL(103,April[1])</f>
        <v>0</v>
      </c>
      <c r="D12" s="12">
        <f>SUBTOTAL(103,April[2])</f>
        <v>0</v>
      </c>
      <c r="E12" s="12">
        <f>SUBTOTAL(103,April[3])</f>
        <v>0</v>
      </c>
      <c r="F12" s="12">
        <f>SUBTOTAL(103,April[4])</f>
        <v>0</v>
      </c>
      <c r="G12" s="12">
        <f>SUBTOTAL(103,April[5])</f>
        <v>0</v>
      </c>
      <c r="H12" s="12">
        <f>SUBTOTAL(103,April[6])</f>
        <v>0</v>
      </c>
      <c r="I12" s="12">
        <f>SUBTOTAL(103,April[7])</f>
        <v>0</v>
      </c>
      <c r="J12" s="12">
        <f>SUBTOTAL(103,April[8])</f>
        <v>0</v>
      </c>
      <c r="K12" s="12">
        <f>SUBTOTAL(103,April[9])</f>
        <v>0</v>
      </c>
      <c r="L12" s="12">
        <f>SUBTOTAL(103,April[10])</f>
        <v>0</v>
      </c>
      <c r="M12" s="12">
        <f>SUBTOTAL(103,April[11])</f>
        <v>0</v>
      </c>
      <c r="N12" s="12">
        <f>SUBTOTAL(103,April[12])</f>
        <v>0</v>
      </c>
      <c r="O12" s="12">
        <f>SUBTOTAL(103,April[13])</f>
        <v>0</v>
      </c>
      <c r="P12" s="12">
        <f>SUBTOTAL(103,April[14])</f>
        <v>0</v>
      </c>
      <c r="Q12" s="12">
        <f>SUBTOTAL(103,April[15])</f>
        <v>0</v>
      </c>
      <c r="R12" s="12">
        <f>SUBTOTAL(103,April[16])</f>
        <v>0</v>
      </c>
      <c r="S12" s="12">
        <f>SUBTOTAL(103,April[17])</f>
        <v>0</v>
      </c>
      <c r="T12" s="12">
        <f>SUBTOTAL(103,April[18])</f>
        <v>0</v>
      </c>
      <c r="U12" s="12">
        <f>SUBTOTAL(103,April[19])</f>
        <v>0</v>
      </c>
      <c r="V12" s="12">
        <f>SUBTOTAL(103,April[20])</f>
        <v>0</v>
      </c>
      <c r="W12" s="12">
        <f>SUBTOTAL(103,April[21])</f>
        <v>0</v>
      </c>
      <c r="X12" s="12">
        <f>SUBTOTAL(103,April[22])</f>
        <v>0</v>
      </c>
      <c r="Y12" s="12">
        <f>SUBTOTAL(103,April[23])</f>
        <v>0</v>
      </c>
      <c r="Z12" s="12">
        <f>SUBTOTAL(103,April[24])</f>
        <v>0</v>
      </c>
      <c r="AA12" s="12">
        <f>SUBTOTAL(103,April[25])</f>
        <v>0</v>
      </c>
      <c r="AB12" s="12">
        <f>SUBTOTAL(103,April[26])</f>
        <v>0</v>
      </c>
      <c r="AC12" s="12">
        <f>SUBTOTAL(103,April[27])</f>
        <v>0</v>
      </c>
      <c r="AD12" s="12">
        <f>SUBTOTAL(103,April[28])</f>
        <v>0</v>
      </c>
      <c r="AE12" s="12">
        <f>SUBTOTAL(103,April[29])</f>
        <v>0</v>
      </c>
      <c r="AF12" s="12">
        <f>SUBTOTAL(109,April[30])</f>
        <v>0</v>
      </c>
      <c r="AG12" s="12">
        <f>SUBTOTAL(109,April[31])</f>
        <v>0</v>
      </c>
      <c r="AH12" s="12">
        <f>SUBTOTAL(109,April[Total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65" priority="2" stopIfTrue="1">
      <formula>C7=KeyCustom2</formula>
    </cfRule>
    <cfRule type="expression" dxfId="664" priority="3" stopIfTrue="1">
      <formula>C7=KeyCustom1</formula>
    </cfRule>
    <cfRule type="expression" dxfId="663" priority="4" stopIfTrue="1">
      <formula>C7=KeySick</formula>
    </cfRule>
    <cfRule type="expression" dxfId="662" priority="5" stopIfTrue="1">
      <formula>C7=KeyPersonal</formula>
    </cfRule>
    <cfRule type="expression" dxfId="66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utomatically updated year based on year entered in January worksheet" sqref="AH4" xr:uid="{00000000-0002-0000-0300-000000000000}"/>
    <dataValidation allowBlank="1" showInputMessage="1" showErrorMessage="1" prompt="Automatically calculates total number of days an employee was absent this month in this column" sqref="AH6" xr:uid="{00000000-0002-0000-0300-000001000000}"/>
    <dataValidation allowBlank="1" showInputMessage="1" showErrorMessage="1" prompt="Track April absence in this worksheet" sqref="A1" xr:uid="{00000000-0002-0000-03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300-000003000000}"/>
    <dataValidation allowBlank="1" showInputMessage="1" showErrorMessage="1" prompt="Automatically updated title is in this cell. To modify the title, update B1 on January worksheet" sqref="B1" xr:uid="{00000000-0002-0000-0300-000004000000}"/>
    <dataValidation allowBlank="1" showInputMessage="1" showErrorMessage="1" prompt="The letter &quot;V&quot; indicates absence due to vacation" sqref="C2" xr:uid="{00000000-0002-0000-0300-000005000000}"/>
    <dataValidation allowBlank="1" showInputMessage="1" showErrorMessage="1" prompt="The letter &quot;P&quot; indicates absence due to personal reasons" sqref="G2" xr:uid="{00000000-0002-0000-0300-000006000000}"/>
    <dataValidation allowBlank="1" showInputMessage="1" showErrorMessage="1" prompt="The letter &quot;S&quot; indicates absence due to illness" sqref="K2" xr:uid="{00000000-0002-0000-0300-000007000000}"/>
    <dataValidation allowBlank="1" showInputMessage="1" showErrorMessage="1" prompt="Enter a letter and customize the label at right to add another key item" sqref="N2 R2" xr:uid="{00000000-0002-0000-0300-000008000000}"/>
    <dataValidation allowBlank="1" showInputMessage="1" showErrorMessage="1" prompt="Enter a label to describe the custom key at left" sqref="O2:Q2 S2:U2" xr:uid="{00000000-0002-0000-0300-000009000000}"/>
    <dataValidation allowBlank="1" showInputMessage="1" showErrorMessage="1" prompt="This row defines the keys used in the table: cell C2 is Vacation, G2 is Personal, &amp; K2 is Sick leave. Cells N2 &amp; R2 are customizable " sqref="B2" xr:uid="{00000000-0002-0000-0300-00000A000000}"/>
    <dataValidation allowBlank="1" showInputMessage="1" showErrorMessage="1" prompt="Month name for this absence schedule is in this cell. Absence totals for this month are in last cell of the table. Select employee names in table column B" sqref="B4" xr:uid="{00000000-0002-0000-0300-00000B000000}"/>
    <dataValidation allowBlank="1" showInputMessage="1" showErrorMessage="1" prompt="Days of the month in this row are automatically generated. Enter an employee's absence and absence type in each column for each day of the month. Blank means no absence" sqref="C6" xr:uid="{00000000-0002-0000-03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3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'Employee Names'!$B$4:$B$8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53</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TEXT(WEEKDAY(DATE(CalendarYear,5,1),1),"aaa")</f>
        <v>Sun</v>
      </c>
      <c r="D5" s="2" t="str">
        <f>TEXT(WEEKDAY(DATE(CalendarYear,5,2),1),"aaa")</f>
        <v>Mon</v>
      </c>
      <c r="E5" s="2" t="str">
        <f>TEXT(WEEKDAY(DATE(CalendarYear,5,3),1),"aaa")</f>
        <v>Tue</v>
      </c>
      <c r="F5" s="2" t="str">
        <f>TEXT(WEEKDAY(DATE(CalendarYear,5,4),1),"aaa")</f>
        <v>Wed</v>
      </c>
      <c r="G5" s="2" t="str">
        <f>TEXT(WEEKDAY(DATE(CalendarYear,5,5),1),"aaa")</f>
        <v>Thu</v>
      </c>
      <c r="H5" s="2" t="str">
        <f>TEXT(WEEKDAY(DATE(CalendarYear,5,6),1),"aaa")</f>
        <v>Fri</v>
      </c>
      <c r="I5" s="2" t="str">
        <f>TEXT(WEEKDAY(DATE(CalendarYear,5,7),1),"aaa")</f>
        <v>Sat</v>
      </c>
      <c r="J5" s="2" t="str">
        <f>TEXT(WEEKDAY(DATE(CalendarYear,5,8),1),"aaa")</f>
        <v>Sun</v>
      </c>
      <c r="K5" s="2" t="str">
        <f>TEXT(WEEKDAY(DATE(CalendarYear,5,9),1),"aaa")</f>
        <v>Mon</v>
      </c>
      <c r="L5" s="2" t="str">
        <f>TEXT(WEEKDAY(DATE(CalendarYear,5,10),1),"aaa")</f>
        <v>Tue</v>
      </c>
      <c r="M5" s="2" t="str">
        <f>TEXT(WEEKDAY(DATE(CalendarYear,5,11),1),"aaa")</f>
        <v>Wed</v>
      </c>
      <c r="N5" s="2" t="str">
        <f>TEXT(WEEKDAY(DATE(CalendarYear,5,12),1),"aaa")</f>
        <v>Thu</v>
      </c>
      <c r="O5" s="2" t="str">
        <f>TEXT(WEEKDAY(DATE(CalendarYear,5,13),1),"aaa")</f>
        <v>Fri</v>
      </c>
      <c r="P5" s="2" t="str">
        <f>TEXT(WEEKDAY(DATE(CalendarYear,5,14),1),"aaa")</f>
        <v>Sat</v>
      </c>
      <c r="Q5" s="2" t="str">
        <f>TEXT(WEEKDAY(DATE(CalendarYear,5,15),1),"aaa")</f>
        <v>Sun</v>
      </c>
      <c r="R5" s="2" t="str">
        <f>TEXT(WEEKDAY(DATE(CalendarYear,5,16),1),"aaa")</f>
        <v>Mon</v>
      </c>
      <c r="S5" s="2" t="str">
        <f>TEXT(WEEKDAY(DATE(CalendarYear,5,17),1),"aaa")</f>
        <v>Tue</v>
      </c>
      <c r="T5" s="2" t="str">
        <f>TEXT(WEEKDAY(DATE(CalendarYear,5,18),1),"aaa")</f>
        <v>Wed</v>
      </c>
      <c r="U5" s="2" t="str">
        <f>TEXT(WEEKDAY(DATE(CalendarYear,5,19),1),"aaa")</f>
        <v>Thu</v>
      </c>
      <c r="V5" s="2" t="str">
        <f>TEXT(WEEKDAY(DATE(CalendarYear,5,20),1),"aaa")</f>
        <v>Fri</v>
      </c>
      <c r="W5" s="2" t="str">
        <f>TEXT(WEEKDAY(DATE(CalendarYear,5,21),1),"aaa")</f>
        <v>Sat</v>
      </c>
      <c r="X5" s="2" t="str">
        <f>TEXT(WEEKDAY(DATE(CalendarYear,5,22),1),"aaa")</f>
        <v>Sun</v>
      </c>
      <c r="Y5" s="2" t="str">
        <f>TEXT(WEEKDAY(DATE(CalendarYear,5,23),1),"aaa")</f>
        <v>Mon</v>
      </c>
      <c r="Z5" s="2" t="str">
        <f>TEXT(WEEKDAY(DATE(CalendarYear,5,24),1),"aaa")</f>
        <v>Tue</v>
      </c>
      <c r="AA5" s="2" t="str">
        <f>TEXT(WEEKDAY(DATE(CalendarYear,5,25),1),"aaa")</f>
        <v>Wed</v>
      </c>
      <c r="AB5" s="2" t="str">
        <f>TEXT(WEEKDAY(DATE(CalendarYear,5,26),1),"aaa")</f>
        <v>Thu</v>
      </c>
      <c r="AC5" s="2" t="str">
        <f>TEXT(WEEKDAY(DATE(CalendarYear,5,27),1),"aaa")</f>
        <v>Fri</v>
      </c>
      <c r="AD5" s="2" t="str">
        <f>TEXT(WEEKDAY(DATE(CalendarYear,5,28),1),"aaa")</f>
        <v>Sat</v>
      </c>
      <c r="AE5" s="2" t="str">
        <f>TEXT(WEEKDAY(DATE(CalendarYear,5,29),1),"aaa")</f>
        <v>Sun</v>
      </c>
      <c r="AF5" s="2" t="str">
        <f>TEXT(WEEKDAY(DATE(CalendarYear,5,30),1),"aaa")</f>
        <v>Mon</v>
      </c>
      <c r="AG5" s="2" t="str">
        <f>TEXT(WEEKDAY(DATE(CalendarYear,5,31),1),"aaa")</f>
        <v>Tue</v>
      </c>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COUNTA(May[[#This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COUNTA(May[[#This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COUNTA(May[[#This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COUNTA(May[[#This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COUNTA(May[[#This Row],[1]:[31]])</f>
        <v>0</v>
      </c>
    </row>
    <row r="12" spans="2:34" ht="30" customHeight="1" x14ac:dyDescent="0.25">
      <c r="B12" s="19" t="str">
        <f>MonthName&amp;" Total"</f>
        <v>May Total</v>
      </c>
      <c r="C12" s="12">
        <f>SUBTOTAL(103,May[1])</f>
        <v>0</v>
      </c>
      <c r="D12" s="12">
        <f>SUBTOTAL(103,May[2])</f>
        <v>0</v>
      </c>
      <c r="E12" s="12">
        <f>SUBTOTAL(103,May[3])</f>
        <v>0</v>
      </c>
      <c r="F12" s="12">
        <f>SUBTOTAL(103,May[4])</f>
        <v>0</v>
      </c>
      <c r="G12" s="12">
        <f>SUBTOTAL(103,May[5])</f>
        <v>0</v>
      </c>
      <c r="H12" s="12">
        <f>SUBTOTAL(103,May[6])</f>
        <v>0</v>
      </c>
      <c r="I12" s="12">
        <f>SUBTOTAL(103,May[7])</f>
        <v>0</v>
      </c>
      <c r="J12" s="12">
        <f>SUBTOTAL(103,May[8])</f>
        <v>0</v>
      </c>
      <c r="K12" s="12">
        <f>SUBTOTAL(103,May[9])</f>
        <v>0</v>
      </c>
      <c r="L12" s="12">
        <f>SUBTOTAL(103,May[10])</f>
        <v>0</v>
      </c>
      <c r="M12" s="12">
        <f>SUBTOTAL(103,May[11])</f>
        <v>0</v>
      </c>
      <c r="N12" s="12">
        <f>SUBTOTAL(103,May[12])</f>
        <v>0</v>
      </c>
      <c r="O12" s="12">
        <f>SUBTOTAL(103,May[13])</f>
        <v>0</v>
      </c>
      <c r="P12" s="12">
        <f>SUBTOTAL(103,May[14])</f>
        <v>0</v>
      </c>
      <c r="Q12" s="12">
        <f>SUBTOTAL(103,May[15])</f>
        <v>0</v>
      </c>
      <c r="R12" s="12">
        <f>SUBTOTAL(103,May[16])</f>
        <v>0</v>
      </c>
      <c r="S12" s="12">
        <f>SUBTOTAL(103,May[17])</f>
        <v>0</v>
      </c>
      <c r="T12" s="12">
        <f>SUBTOTAL(103,May[18])</f>
        <v>0</v>
      </c>
      <c r="U12" s="12">
        <f>SUBTOTAL(103,May[19])</f>
        <v>0</v>
      </c>
      <c r="V12" s="12">
        <f>SUBTOTAL(103,May[20])</f>
        <v>0</v>
      </c>
      <c r="W12" s="12">
        <f>SUBTOTAL(103,May[21])</f>
        <v>0</v>
      </c>
      <c r="X12" s="12">
        <f>SUBTOTAL(103,May[22])</f>
        <v>0</v>
      </c>
      <c r="Y12" s="12">
        <f>SUBTOTAL(103,May[23])</f>
        <v>0</v>
      </c>
      <c r="Z12" s="12">
        <f>SUBTOTAL(103,May[24])</f>
        <v>0</v>
      </c>
      <c r="AA12" s="12">
        <f>SUBTOTAL(103,May[25])</f>
        <v>0</v>
      </c>
      <c r="AB12" s="12">
        <f>SUBTOTAL(103,May[26])</f>
        <v>0</v>
      </c>
      <c r="AC12" s="12">
        <f>SUBTOTAL(103,May[27])</f>
        <v>0</v>
      </c>
      <c r="AD12" s="12">
        <f>SUBTOTAL(103,May[28])</f>
        <v>0</v>
      </c>
      <c r="AE12" s="12">
        <f>SUBTOTAL(103,May[29])</f>
        <v>0</v>
      </c>
      <c r="AF12" s="12">
        <f>SUBTOTAL(109,May[30])</f>
        <v>0</v>
      </c>
      <c r="AG12" s="12">
        <f>SUBTOTAL(109,May[31])</f>
        <v>0</v>
      </c>
      <c r="AH12" s="12">
        <f>SUBTOTAL(109,May[Total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91" priority="2" stopIfTrue="1">
      <formula>C7=KeyCustom2</formula>
    </cfRule>
    <cfRule type="expression" dxfId="590" priority="3" stopIfTrue="1">
      <formula>C7=KeyCustom1</formula>
    </cfRule>
    <cfRule type="expression" dxfId="589" priority="4" stopIfTrue="1">
      <formula>C7=KeySick</formula>
    </cfRule>
    <cfRule type="expression" dxfId="588" priority="5" stopIfTrue="1">
      <formula>C7=KeyPersonal</formula>
    </cfRule>
    <cfRule type="expression" dxfId="587"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400-000000000000}"/>
    <dataValidation allowBlank="1" showInputMessage="1" showErrorMessage="1" prompt="Month name for this absence schedule is in this cell. Absence totals for this month are in last cell of the table. Select employee names in table column B" sqref="B4" xr:uid="{00000000-0002-0000-0400-000001000000}"/>
    <dataValidation allowBlank="1" showInputMessage="1" showErrorMessage="1" prompt="This row defines the keys used in the table: cell C2 is Vacation, G2 is Personal, &amp; K2 is Sick leave. Cells N2 &amp; R2 are customizable " sqref="B2" xr:uid="{00000000-0002-0000-0400-000002000000}"/>
    <dataValidation allowBlank="1" showInputMessage="1" showErrorMessage="1" prompt="Enter a label to describe the custom key at left" sqref="O2:Q2 S2:U2" xr:uid="{00000000-0002-0000-0400-000003000000}"/>
    <dataValidation allowBlank="1" showInputMessage="1" showErrorMessage="1" prompt="Enter a letter and customize the label at right to add another key item" sqref="N2 R2" xr:uid="{00000000-0002-0000-0400-000004000000}"/>
    <dataValidation allowBlank="1" showInputMessage="1" showErrorMessage="1" prompt="The letter &quot;S&quot; indicates absence due to illness" sqref="K2" xr:uid="{00000000-0002-0000-0400-000005000000}"/>
    <dataValidation allowBlank="1" showInputMessage="1" showErrorMessage="1" prompt="The letter &quot;P&quot; indicates absence due to personal reasons" sqref="G2" xr:uid="{00000000-0002-0000-0400-000006000000}"/>
    <dataValidation allowBlank="1" showInputMessage="1" showErrorMessage="1" prompt="The letter &quot;V&quot; indicates absence due to vacation" sqref="C2" xr:uid="{00000000-0002-0000-0400-000007000000}"/>
    <dataValidation allowBlank="1" showInputMessage="1" showErrorMessage="1" prompt="Automatically updated title is in this cell. To modify the title, update B1 on January worksheet" sqref="B1" xr:uid="{00000000-0002-0000-04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400-000009000000}"/>
    <dataValidation allowBlank="1" showInputMessage="1" showErrorMessage="1" prompt="Track May absence in this worksheet" sqref="A1" xr:uid="{00000000-0002-0000-0400-00000A000000}"/>
    <dataValidation allowBlank="1" showInputMessage="1" showErrorMessage="1" prompt="Automatically calculates total number of days an employee was absent this month in this column" sqref="AH6" xr:uid="{00000000-0002-0000-0400-00000B000000}"/>
    <dataValidation allowBlank="1" showInputMessage="1" showErrorMessage="1" prompt="Automatically updated year based on year entered in January worksheet" sqref="AH4" xr:uid="{00000000-0002-0000-04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4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'Employee Names'!$B$4:$B$8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54</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TEXT(WEEKDAY(DATE(CalendarYear,6,1),1),"aaa")</f>
        <v>Wed</v>
      </c>
      <c r="D5" s="2" t="str">
        <f>TEXT(WEEKDAY(DATE(CalendarYear,6,2),1),"aaa")</f>
        <v>Thu</v>
      </c>
      <c r="E5" s="2" t="str">
        <f>TEXT(WEEKDAY(DATE(CalendarYear,6,3),1),"aaa")</f>
        <v>Fri</v>
      </c>
      <c r="F5" s="2" t="str">
        <f>TEXT(WEEKDAY(DATE(CalendarYear,6,4),1),"aaa")</f>
        <v>Sat</v>
      </c>
      <c r="G5" s="2" t="str">
        <f>TEXT(WEEKDAY(DATE(CalendarYear,6,5),1),"aaa")</f>
        <v>Sun</v>
      </c>
      <c r="H5" s="2" t="str">
        <f>TEXT(WEEKDAY(DATE(CalendarYear,6,6),1),"aaa")</f>
        <v>Mon</v>
      </c>
      <c r="I5" s="2" t="str">
        <f>TEXT(WEEKDAY(DATE(CalendarYear,6,7),1),"aaa")</f>
        <v>Tue</v>
      </c>
      <c r="J5" s="2" t="str">
        <f>TEXT(WEEKDAY(DATE(CalendarYear,6,8),1),"aaa")</f>
        <v>Wed</v>
      </c>
      <c r="K5" s="2" t="str">
        <f>TEXT(WEEKDAY(DATE(CalendarYear,6,9),1),"aaa")</f>
        <v>Thu</v>
      </c>
      <c r="L5" s="2" t="str">
        <f>TEXT(WEEKDAY(DATE(CalendarYear,6,10),1),"aaa")</f>
        <v>Fri</v>
      </c>
      <c r="M5" s="2" t="str">
        <f>TEXT(WEEKDAY(DATE(CalendarYear,6,11),1),"aaa")</f>
        <v>Sat</v>
      </c>
      <c r="N5" s="2" t="str">
        <f>TEXT(WEEKDAY(DATE(CalendarYear,6,12),1),"aaa")</f>
        <v>Sun</v>
      </c>
      <c r="O5" s="2" t="str">
        <f>TEXT(WEEKDAY(DATE(CalendarYear,6,13),1),"aaa")</f>
        <v>Mon</v>
      </c>
      <c r="P5" s="2" t="str">
        <f>TEXT(WEEKDAY(DATE(CalendarYear,6,14),1),"aaa")</f>
        <v>Tue</v>
      </c>
      <c r="Q5" s="2" t="str">
        <f>TEXT(WEEKDAY(DATE(CalendarYear,6,15),1),"aaa")</f>
        <v>Wed</v>
      </c>
      <c r="R5" s="2" t="str">
        <f>TEXT(WEEKDAY(DATE(CalendarYear,6,16),1),"aaa")</f>
        <v>Thu</v>
      </c>
      <c r="S5" s="2" t="str">
        <f>TEXT(WEEKDAY(DATE(CalendarYear,6,17),1),"aaa")</f>
        <v>Fri</v>
      </c>
      <c r="T5" s="2" t="str">
        <f>TEXT(WEEKDAY(DATE(CalendarYear,6,18),1),"aaa")</f>
        <v>Sat</v>
      </c>
      <c r="U5" s="2" t="str">
        <f>TEXT(WEEKDAY(DATE(CalendarYear,6,19),1),"aaa")</f>
        <v>Sun</v>
      </c>
      <c r="V5" s="2" t="str">
        <f>TEXT(WEEKDAY(DATE(CalendarYear,6,20),1),"aaa")</f>
        <v>Mon</v>
      </c>
      <c r="W5" s="2" t="str">
        <f>TEXT(WEEKDAY(DATE(CalendarYear,6,21),1),"aaa")</f>
        <v>Tue</v>
      </c>
      <c r="X5" s="2" t="str">
        <f>TEXT(WEEKDAY(DATE(CalendarYear,6,22),1),"aaa")</f>
        <v>Wed</v>
      </c>
      <c r="Y5" s="2" t="str">
        <f>TEXT(WEEKDAY(DATE(CalendarYear,6,23),1),"aaa")</f>
        <v>Thu</v>
      </c>
      <c r="Z5" s="2" t="str">
        <f>TEXT(WEEKDAY(DATE(CalendarYear,6,24),1),"aaa")</f>
        <v>Fri</v>
      </c>
      <c r="AA5" s="2" t="str">
        <f>TEXT(WEEKDAY(DATE(CalendarYear,6,25),1),"aaa")</f>
        <v>Sat</v>
      </c>
      <c r="AB5" s="2" t="str">
        <f>TEXT(WEEKDAY(DATE(CalendarYear,6,26),1),"aaa")</f>
        <v>Sun</v>
      </c>
      <c r="AC5" s="2" t="str">
        <f>TEXT(WEEKDAY(DATE(CalendarYear,6,27),1),"aaa")</f>
        <v>Mon</v>
      </c>
      <c r="AD5" s="2" t="str">
        <f>TEXT(WEEKDAY(DATE(CalendarYear,6,28),1),"aaa")</f>
        <v>Tue</v>
      </c>
      <c r="AE5" s="2" t="str">
        <f>TEXT(WEEKDAY(DATE(CalendarYear,6,29),1),"aaa")</f>
        <v>Wed</v>
      </c>
      <c r="AF5" s="2" t="str">
        <f>TEXT(WEEKDAY(DATE(CalendarYear,6,30),1),"aaa")</f>
        <v>Thu</v>
      </c>
      <c r="AG5" s="2"/>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COUNTA(June[[#This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COUNTA(June[[#This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COUNTA(June[[#This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COUNTA(June[[#This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COUNTA(June[[#This Row],[1]:[31]])</f>
        <v>0</v>
      </c>
    </row>
    <row r="12" spans="2:34" ht="30" customHeight="1" x14ac:dyDescent="0.25">
      <c r="B12" s="19" t="str">
        <f>MonthName&amp;" Total"</f>
        <v>June Total</v>
      </c>
      <c r="C12" s="12">
        <f>SUBTOTAL(103,June[1])</f>
        <v>0</v>
      </c>
      <c r="D12" s="12">
        <f>SUBTOTAL(103,June[2])</f>
        <v>0</v>
      </c>
      <c r="E12" s="12">
        <f>SUBTOTAL(103,June[3])</f>
        <v>0</v>
      </c>
      <c r="F12" s="12">
        <f>SUBTOTAL(103,June[4])</f>
        <v>0</v>
      </c>
      <c r="G12" s="12">
        <f>SUBTOTAL(103,June[5])</f>
        <v>0</v>
      </c>
      <c r="H12" s="12">
        <f>SUBTOTAL(103,June[6])</f>
        <v>0</v>
      </c>
      <c r="I12" s="12">
        <f>SUBTOTAL(103,June[7])</f>
        <v>0</v>
      </c>
      <c r="J12" s="12">
        <f>SUBTOTAL(103,June[8])</f>
        <v>0</v>
      </c>
      <c r="K12" s="12">
        <f>SUBTOTAL(103,June[9])</f>
        <v>0</v>
      </c>
      <c r="L12" s="12">
        <f>SUBTOTAL(103,June[10])</f>
        <v>0</v>
      </c>
      <c r="M12" s="12">
        <f>SUBTOTAL(103,June[11])</f>
        <v>0</v>
      </c>
      <c r="N12" s="12">
        <f>SUBTOTAL(103,June[12])</f>
        <v>0</v>
      </c>
      <c r="O12" s="12">
        <f>SUBTOTAL(103,June[13])</f>
        <v>0</v>
      </c>
      <c r="P12" s="12">
        <f>SUBTOTAL(103,June[14])</f>
        <v>0</v>
      </c>
      <c r="Q12" s="12">
        <f>SUBTOTAL(103,June[15])</f>
        <v>0</v>
      </c>
      <c r="R12" s="12">
        <f>SUBTOTAL(103,June[16])</f>
        <v>0</v>
      </c>
      <c r="S12" s="12">
        <f>SUBTOTAL(103,June[17])</f>
        <v>0</v>
      </c>
      <c r="T12" s="12">
        <f>SUBTOTAL(103,June[18])</f>
        <v>0</v>
      </c>
      <c r="U12" s="12">
        <f>SUBTOTAL(103,June[19])</f>
        <v>0</v>
      </c>
      <c r="V12" s="12">
        <f>SUBTOTAL(103,June[20])</f>
        <v>0</v>
      </c>
      <c r="W12" s="12">
        <f>SUBTOTAL(103,June[21])</f>
        <v>0</v>
      </c>
      <c r="X12" s="12">
        <f>SUBTOTAL(103,June[22])</f>
        <v>0</v>
      </c>
      <c r="Y12" s="12">
        <f>SUBTOTAL(103,June[23])</f>
        <v>0</v>
      </c>
      <c r="Z12" s="12">
        <f>SUBTOTAL(103,June[24])</f>
        <v>0</v>
      </c>
      <c r="AA12" s="12">
        <f>SUBTOTAL(103,June[25])</f>
        <v>0</v>
      </c>
      <c r="AB12" s="12">
        <f>SUBTOTAL(103,June[26])</f>
        <v>0</v>
      </c>
      <c r="AC12" s="12">
        <f>SUBTOTAL(103,June[27])</f>
        <v>0</v>
      </c>
      <c r="AD12" s="12">
        <f>SUBTOTAL(103,June[28])</f>
        <v>0</v>
      </c>
      <c r="AE12" s="12">
        <f>SUBTOTAL(103,June[29])</f>
        <v>0</v>
      </c>
      <c r="AF12" s="12">
        <f>SUBTOTAL(109,June[30])</f>
        <v>0</v>
      </c>
      <c r="AG12" s="12">
        <f>SUBTOTAL(109,June[31])</f>
        <v>0</v>
      </c>
      <c r="AH12" s="12">
        <f>SUBTOTAL(109,June[Total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17" priority="2" stopIfTrue="1">
      <formula>C7=KeyCustom2</formula>
    </cfRule>
    <cfRule type="expression" dxfId="516" priority="3" stopIfTrue="1">
      <formula>C7=KeyCustom1</formula>
    </cfRule>
    <cfRule type="expression" dxfId="515" priority="4" stopIfTrue="1">
      <formula>C7=KeySick</formula>
    </cfRule>
    <cfRule type="expression" dxfId="514" priority="5" stopIfTrue="1">
      <formula>C7=KeyPersonal</formula>
    </cfRule>
    <cfRule type="expression" dxfId="513"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500-000000000000}"/>
    <dataValidation allowBlank="1" showInputMessage="1" showErrorMessage="1" prompt="Automatically updated year based on year entered in January worksheet" sqref="AH4" xr:uid="{00000000-0002-0000-0500-000001000000}"/>
    <dataValidation allowBlank="1" showInputMessage="1" showErrorMessage="1" prompt="Automatically calculates total number of days an employee was absent this month in this column" sqref="AH6" xr:uid="{00000000-0002-0000-0500-000002000000}"/>
    <dataValidation allowBlank="1" showInputMessage="1" showErrorMessage="1" prompt="Track June absence in this worksheet" sqref="A1" xr:uid="{00000000-0002-0000-05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500-000004000000}"/>
    <dataValidation allowBlank="1" showInputMessage="1" showErrorMessage="1" prompt="Automatically updated title is in this cell. To modify the title, update B1 on January worksheet" sqref="B1" xr:uid="{00000000-0002-0000-0500-000005000000}"/>
    <dataValidation allowBlank="1" showInputMessage="1" showErrorMessage="1" prompt="The letter &quot;V&quot; indicates absence due to vacation" sqref="C2" xr:uid="{00000000-0002-0000-0500-000006000000}"/>
    <dataValidation allowBlank="1" showInputMessage="1" showErrorMessage="1" prompt="The letter &quot;P&quot; indicates absence due to personal reasons" sqref="G2" xr:uid="{00000000-0002-0000-0500-000007000000}"/>
    <dataValidation allowBlank="1" showInputMessage="1" showErrorMessage="1" prompt="The letter &quot;S&quot; indicates absence due to illness" sqref="K2" xr:uid="{00000000-0002-0000-0500-000008000000}"/>
    <dataValidation allowBlank="1" showInputMessage="1" showErrorMessage="1" prompt="Enter a letter and customize the label at right to add another key item" sqref="N2 R2" xr:uid="{00000000-0002-0000-0500-000009000000}"/>
    <dataValidation allowBlank="1" showInputMessage="1" showErrorMessage="1" prompt="Enter a label to describe the custom key at left" sqref="O2:Q2 S2:U2" xr:uid="{00000000-0002-0000-0500-00000A000000}"/>
    <dataValidation allowBlank="1" showInputMessage="1" showErrorMessage="1" prompt="This row defines the keys used in the table: cell C2 is Vacation, G2 is Personal, &amp; K2 is Sick leave. Cells N2 &amp; R2 are customizable " sqref="B2" xr:uid="{00000000-0002-0000-0500-00000B000000}"/>
    <dataValidation allowBlank="1" showInputMessage="1" showErrorMessage="1" prompt="Month name for this absence schedule is in this cell. Absence totals for this month are in last cell of the table. Select employee names in table column B" sqref="B4" xr:uid="{00000000-0002-0000-05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5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'Employee Names'!$B$4:$B$8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55</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TEXT(WEEKDAY(DATE(CalendarYear,7,1),1),"aaa")</f>
        <v>Fri</v>
      </c>
      <c r="D5" s="2" t="str">
        <f>TEXT(WEEKDAY(DATE(CalendarYear,7,2),1),"aaa")</f>
        <v>Sat</v>
      </c>
      <c r="E5" s="2" t="str">
        <f>TEXT(WEEKDAY(DATE(CalendarYear,7,3),1),"aaa")</f>
        <v>Sun</v>
      </c>
      <c r="F5" s="2" t="str">
        <f>TEXT(WEEKDAY(DATE(CalendarYear,7,4),1),"aaa")</f>
        <v>Mon</v>
      </c>
      <c r="G5" s="2" t="str">
        <f>TEXT(WEEKDAY(DATE(CalendarYear,7,5),1),"aaa")</f>
        <v>Tue</v>
      </c>
      <c r="H5" s="2" t="str">
        <f>TEXT(WEEKDAY(DATE(CalendarYear,7,6),1),"aaa")</f>
        <v>Wed</v>
      </c>
      <c r="I5" s="2" t="str">
        <f>TEXT(WEEKDAY(DATE(CalendarYear,7,7),1),"aaa")</f>
        <v>Thu</v>
      </c>
      <c r="J5" s="2" t="str">
        <f>TEXT(WEEKDAY(DATE(CalendarYear,7,8),1),"aaa")</f>
        <v>Fri</v>
      </c>
      <c r="K5" s="2" t="str">
        <f>TEXT(WEEKDAY(DATE(CalendarYear,7,9),1),"aaa")</f>
        <v>Sat</v>
      </c>
      <c r="L5" s="2" t="str">
        <f>TEXT(WEEKDAY(DATE(CalendarYear,7,10),1),"aaa")</f>
        <v>Sun</v>
      </c>
      <c r="M5" s="2" t="str">
        <f>TEXT(WEEKDAY(DATE(CalendarYear,7,11),1),"aaa")</f>
        <v>Mon</v>
      </c>
      <c r="N5" s="2" t="str">
        <f>TEXT(WEEKDAY(DATE(CalendarYear,7,12),1),"aaa")</f>
        <v>Tue</v>
      </c>
      <c r="O5" s="2" t="str">
        <f>TEXT(WEEKDAY(DATE(CalendarYear,7,13),1),"aaa")</f>
        <v>Wed</v>
      </c>
      <c r="P5" s="2" t="str">
        <f>TEXT(WEEKDAY(DATE(CalendarYear,7,14),1),"aaa")</f>
        <v>Thu</v>
      </c>
      <c r="Q5" s="2" t="str">
        <f>TEXT(WEEKDAY(DATE(CalendarYear,7,15),1),"aaa")</f>
        <v>Fri</v>
      </c>
      <c r="R5" s="2" t="str">
        <f>TEXT(WEEKDAY(DATE(CalendarYear,7,16),1),"aaa")</f>
        <v>Sat</v>
      </c>
      <c r="S5" s="2" t="str">
        <f>TEXT(WEEKDAY(DATE(CalendarYear,7,17),1),"aaa")</f>
        <v>Sun</v>
      </c>
      <c r="T5" s="2" t="str">
        <f>TEXT(WEEKDAY(DATE(CalendarYear,7,18),1),"aaa")</f>
        <v>Mon</v>
      </c>
      <c r="U5" s="2" t="str">
        <f>TEXT(WEEKDAY(DATE(CalendarYear,7,19),1),"aaa")</f>
        <v>Tue</v>
      </c>
      <c r="V5" s="2" t="str">
        <f>TEXT(WEEKDAY(DATE(CalendarYear,7,20),1),"aaa")</f>
        <v>Wed</v>
      </c>
      <c r="W5" s="2" t="str">
        <f>TEXT(WEEKDAY(DATE(CalendarYear,7,21),1),"aaa")</f>
        <v>Thu</v>
      </c>
      <c r="X5" s="2" t="str">
        <f>TEXT(WEEKDAY(DATE(CalendarYear,7,22),1),"aaa")</f>
        <v>Fri</v>
      </c>
      <c r="Y5" s="2" t="str">
        <f>TEXT(WEEKDAY(DATE(CalendarYear,7,23),1),"aaa")</f>
        <v>Sat</v>
      </c>
      <c r="Z5" s="2" t="str">
        <f>TEXT(WEEKDAY(DATE(CalendarYear,7,24),1),"aaa")</f>
        <v>Sun</v>
      </c>
      <c r="AA5" s="2" t="str">
        <f>TEXT(WEEKDAY(DATE(CalendarYear,7,25),1),"aaa")</f>
        <v>Mon</v>
      </c>
      <c r="AB5" s="2" t="str">
        <f>TEXT(WEEKDAY(DATE(CalendarYear,7,26),1),"aaa")</f>
        <v>Tue</v>
      </c>
      <c r="AC5" s="2" t="str">
        <f>TEXT(WEEKDAY(DATE(CalendarYear,7,27),1),"aaa")</f>
        <v>Wed</v>
      </c>
      <c r="AD5" s="2" t="str">
        <f>TEXT(WEEKDAY(DATE(CalendarYear,7,28),1),"aaa")</f>
        <v>Thu</v>
      </c>
      <c r="AE5" s="2" t="str">
        <f>TEXT(WEEKDAY(DATE(CalendarYear,7,29),1),"aaa")</f>
        <v>Fri</v>
      </c>
      <c r="AF5" s="2" t="str">
        <f>TEXT(WEEKDAY(DATE(CalendarYear,7,30),1),"aaa")</f>
        <v>Sat</v>
      </c>
      <c r="AG5" s="2" t="str">
        <f>TEXT(WEEKDAY(DATE(CalendarYear,7,31),1),"aaa")</f>
        <v>Sun</v>
      </c>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COUNTA(July[[#This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COUNTA(July[[#This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COUNTA(July[[#This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COUNTA(July[[#This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COUNTA(July[[#This Row],[1]:[31]])</f>
        <v>0</v>
      </c>
    </row>
    <row r="12" spans="2:34" ht="30" customHeight="1" x14ac:dyDescent="0.25">
      <c r="B12" s="19" t="str">
        <f>MonthName&amp;" Total"</f>
        <v>July Total</v>
      </c>
      <c r="C12" s="12">
        <f>SUBTOTAL(103,July[1])</f>
        <v>0</v>
      </c>
      <c r="D12" s="12">
        <f>SUBTOTAL(103,July[2])</f>
        <v>0</v>
      </c>
      <c r="E12" s="12">
        <f>SUBTOTAL(103,July[3])</f>
        <v>0</v>
      </c>
      <c r="F12" s="12">
        <f>SUBTOTAL(103,July[4])</f>
        <v>0</v>
      </c>
      <c r="G12" s="12">
        <f>SUBTOTAL(103,July[5])</f>
        <v>0</v>
      </c>
      <c r="H12" s="12">
        <f>SUBTOTAL(103,July[6])</f>
        <v>0</v>
      </c>
      <c r="I12" s="12">
        <f>SUBTOTAL(103,July[7])</f>
        <v>0</v>
      </c>
      <c r="J12" s="12">
        <f>SUBTOTAL(103,July[8])</f>
        <v>0</v>
      </c>
      <c r="K12" s="12">
        <f>SUBTOTAL(103,July[9])</f>
        <v>0</v>
      </c>
      <c r="L12" s="12">
        <f>SUBTOTAL(103,July[10])</f>
        <v>0</v>
      </c>
      <c r="M12" s="12">
        <f>SUBTOTAL(103,July[11])</f>
        <v>0</v>
      </c>
      <c r="N12" s="12">
        <f>SUBTOTAL(103,July[12])</f>
        <v>0</v>
      </c>
      <c r="O12" s="12">
        <f>SUBTOTAL(103,July[13])</f>
        <v>0</v>
      </c>
      <c r="P12" s="12">
        <f>SUBTOTAL(103,July[14])</f>
        <v>0</v>
      </c>
      <c r="Q12" s="12">
        <f>SUBTOTAL(103,July[15])</f>
        <v>0</v>
      </c>
      <c r="R12" s="12">
        <f>SUBTOTAL(103,July[16])</f>
        <v>0</v>
      </c>
      <c r="S12" s="12">
        <f>SUBTOTAL(103,July[17])</f>
        <v>0</v>
      </c>
      <c r="T12" s="12">
        <f>SUBTOTAL(103,July[18])</f>
        <v>0</v>
      </c>
      <c r="U12" s="12">
        <f>SUBTOTAL(103,July[19])</f>
        <v>0</v>
      </c>
      <c r="V12" s="12">
        <f>SUBTOTAL(103,July[20])</f>
        <v>0</v>
      </c>
      <c r="W12" s="12">
        <f>SUBTOTAL(103,July[21])</f>
        <v>0</v>
      </c>
      <c r="X12" s="12">
        <f>SUBTOTAL(103,July[22])</f>
        <v>0</v>
      </c>
      <c r="Y12" s="12">
        <f>SUBTOTAL(103,July[23])</f>
        <v>0</v>
      </c>
      <c r="Z12" s="12">
        <f>SUBTOTAL(103,July[24])</f>
        <v>0</v>
      </c>
      <c r="AA12" s="12">
        <f>SUBTOTAL(103,July[25])</f>
        <v>0</v>
      </c>
      <c r="AB12" s="12">
        <f>SUBTOTAL(103,July[26])</f>
        <v>0</v>
      </c>
      <c r="AC12" s="12">
        <f>SUBTOTAL(103,July[27])</f>
        <v>0</v>
      </c>
      <c r="AD12" s="12">
        <f>SUBTOTAL(103,July[28])</f>
        <v>0</v>
      </c>
      <c r="AE12" s="12">
        <f>SUBTOTAL(103,July[29])</f>
        <v>0</v>
      </c>
      <c r="AF12" s="12">
        <f>SUBTOTAL(109,July[30])</f>
        <v>0</v>
      </c>
      <c r="AG12" s="12">
        <f>SUBTOTAL(109,July[31])</f>
        <v>0</v>
      </c>
      <c r="AH12" s="12">
        <f>SUBTOTAL(109,July[Total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43" priority="2" stopIfTrue="1">
      <formula>C7=KeyCustom2</formula>
    </cfRule>
    <cfRule type="expression" dxfId="442" priority="3" stopIfTrue="1">
      <formula>C7=KeyCustom1</formula>
    </cfRule>
    <cfRule type="expression" dxfId="441" priority="4" stopIfTrue="1">
      <formula>C7=KeySick</formula>
    </cfRule>
    <cfRule type="expression" dxfId="440" priority="5" stopIfTrue="1">
      <formula>C7=KeyPersonal</formula>
    </cfRule>
    <cfRule type="expression" dxfId="439"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600-000000000000}"/>
    <dataValidation allowBlank="1" showInputMessage="1" showErrorMessage="1" prompt="Month name for this absence schedule is in this cell. Absence totals for this month are in last cell of the table. Select employee names in table column B" sqref="B4" xr:uid="{00000000-0002-0000-0600-000001000000}"/>
    <dataValidation allowBlank="1" showInputMessage="1" showErrorMessage="1" prompt="This row defines the keys used in the table: cell C2 is Vacation, G2 is Personal, &amp; K2 is Sick leave. Cells N2 &amp; R2 are customizable " sqref="B2" xr:uid="{00000000-0002-0000-0600-000002000000}"/>
    <dataValidation allowBlank="1" showInputMessage="1" showErrorMessage="1" prompt="Enter a label to describe the custom key at left" sqref="O2:Q2 S2:U2" xr:uid="{00000000-0002-0000-0600-000003000000}"/>
    <dataValidation allowBlank="1" showInputMessage="1" showErrorMessage="1" prompt="Enter a letter and customize the label at right to add another key item" sqref="N2 R2" xr:uid="{00000000-0002-0000-0600-000004000000}"/>
    <dataValidation allowBlank="1" showInputMessage="1" showErrorMessage="1" prompt="The letter &quot;S&quot; indicates absence due to illness" sqref="K2" xr:uid="{00000000-0002-0000-0600-000005000000}"/>
    <dataValidation allowBlank="1" showInputMessage="1" showErrorMessage="1" prompt="The letter &quot;P&quot; indicates absence due to personal reasons" sqref="G2" xr:uid="{00000000-0002-0000-0600-000006000000}"/>
    <dataValidation allowBlank="1" showInputMessage="1" showErrorMessage="1" prompt="The letter &quot;V&quot; indicates absence due to vacation" sqref="C2" xr:uid="{00000000-0002-0000-0600-000007000000}"/>
    <dataValidation allowBlank="1" showInputMessage="1" showErrorMessage="1" prompt="Automatically updated title is in this cell. To modify the title, update B1 on January worksheet" sqref="B1" xr:uid="{00000000-0002-0000-06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600-000009000000}"/>
    <dataValidation allowBlank="1" showInputMessage="1" showErrorMessage="1" prompt="Track July absence in this worksheet" sqref="A1" xr:uid="{00000000-0002-0000-0600-00000A000000}"/>
    <dataValidation allowBlank="1" showInputMessage="1" showErrorMessage="1" prompt="Automatically calculates total number of days an employee was absent this month in this column" sqref="AH6" xr:uid="{00000000-0002-0000-0600-00000B000000}"/>
    <dataValidation allowBlank="1" showInputMessage="1" showErrorMessage="1" prompt="Automatically updated year based on year entered in January worksheet" sqref="AH4" xr:uid="{00000000-0002-0000-06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6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'Employee Names'!$B$4:$B$8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56</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TEXT(WEEKDAY(DATE(CalendarYear,8,1),1),"aaa")</f>
        <v>Mon</v>
      </c>
      <c r="D5" s="2" t="str">
        <f>TEXT(WEEKDAY(DATE(CalendarYear,8,2),1),"aaa")</f>
        <v>Tue</v>
      </c>
      <c r="E5" s="2" t="str">
        <f>TEXT(WEEKDAY(DATE(CalendarYear,8,3),1),"aaa")</f>
        <v>Wed</v>
      </c>
      <c r="F5" s="2" t="str">
        <f>TEXT(WEEKDAY(DATE(CalendarYear,8,4),1),"aaa")</f>
        <v>Thu</v>
      </c>
      <c r="G5" s="2" t="str">
        <f>TEXT(WEEKDAY(DATE(CalendarYear,8,5),1),"aaa")</f>
        <v>Fri</v>
      </c>
      <c r="H5" s="2" t="str">
        <f>TEXT(WEEKDAY(DATE(CalendarYear,8,6),1),"aaa")</f>
        <v>Sat</v>
      </c>
      <c r="I5" s="2" t="str">
        <f>TEXT(WEEKDAY(DATE(CalendarYear,8,7),1),"aaa")</f>
        <v>Sun</v>
      </c>
      <c r="J5" s="2" t="str">
        <f>TEXT(WEEKDAY(DATE(CalendarYear,8,8),1),"aaa")</f>
        <v>Mon</v>
      </c>
      <c r="K5" s="2" t="str">
        <f>TEXT(WEEKDAY(DATE(CalendarYear,8,9),1),"aaa")</f>
        <v>Tue</v>
      </c>
      <c r="L5" s="2" t="str">
        <f>TEXT(WEEKDAY(DATE(CalendarYear,8,10),1),"aaa")</f>
        <v>Wed</v>
      </c>
      <c r="M5" s="2" t="str">
        <f>TEXT(WEEKDAY(DATE(CalendarYear,8,11),1),"aaa")</f>
        <v>Thu</v>
      </c>
      <c r="N5" s="2" t="str">
        <f>TEXT(WEEKDAY(DATE(CalendarYear,8,12),1),"aaa")</f>
        <v>Fri</v>
      </c>
      <c r="O5" s="2" t="str">
        <f>TEXT(WEEKDAY(DATE(CalendarYear,8,13),1),"aaa")</f>
        <v>Sat</v>
      </c>
      <c r="P5" s="2" t="str">
        <f>TEXT(WEEKDAY(DATE(CalendarYear,8,14),1),"aaa")</f>
        <v>Sun</v>
      </c>
      <c r="Q5" s="2" t="str">
        <f>TEXT(WEEKDAY(DATE(CalendarYear,8,15),1),"aaa")</f>
        <v>Mon</v>
      </c>
      <c r="R5" s="2" t="str">
        <f>TEXT(WEEKDAY(DATE(CalendarYear,8,16),1),"aaa")</f>
        <v>Tue</v>
      </c>
      <c r="S5" s="2" t="str">
        <f>TEXT(WEEKDAY(DATE(CalendarYear,8,17),1),"aaa")</f>
        <v>Wed</v>
      </c>
      <c r="T5" s="2" t="str">
        <f>TEXT(WEEKDAY(DATE(CalendarYear,8,18),1),"aaa")</f>
        <v>Thu</v>
      </c>
      <c r="U5" s="2" t="str">
        <f>TEXT(WEEKDAY(DATE(CalendarYear,8,19),1),"aaa")</f>
        <v>Fri</v>
      </c>
      <c r="V5" s="2" t="str">
        <f>TEXT(WEEKDAY(DATE(CalendarYear,8,20),1),"aaa")</f>
        <v>Sat</v>
      </c>
      <c r="W5" s="2" t="str">
        <f>TEXT(WEEKDAY(DATE(CalendarYear,8,21),1),"aaa")</f>
        <v>Sun</v>
      </c>
      <c r="X5" s="2" t="str">
        <f>TEXT(WEEKDAY(DATE(CalendarYear,8,22),1),"aaa")</f>
        <v>Mon</v>
      </c>
      <c r="Y5" s="2" t="str">
        <f>TEXT(WEEKDAY(DATE(CalendarYear,8,23),1),"aaa")</f>
        <v>Tue</v>
      </c>
      <c r="Z5" s="2" t="str">
        <f>TEXT(WEEKDAY(DATE(CalendarYear,8,24),1),"aaa")</f>
        <v>Wed</v>
      </c>
      <c r="AA5" s="2" t="str">
        <f>TEXT(WEEKDAY(DATE(CalendarYear,8,25),1),"aaa")</f>
        <v>Thu</v>
      </c>
      <c r="AB5" s="2" t="str">
        <f>TEXT(WEEKDAY(DATE(CalendarYear,8,26),1),"aaa")</f>
        <v>Fri</v>
      </c>
      <c r="AC5" s="2" t="str">
        <f>TEXT(WEEKDAY(DATE(CalendarYear,8,27),1),"aaa")</f>
        <v>Sat</v>
      </c>
      <c r="AD5" s="2" t="str">
        <f>TEXT(WEEKDAY(DATE(CalendarYear,8,28),1),"aaa")</f>
        <v>Sun</v>
      </c>
      <c r="AE5" s="2" t="str">
        <f>TEXT(WEEKDAY(DATE(CalendarYear,8,29),1),"aaa")</f>
        <v>Mon</v>
      </c>
      <c r="AF5" s="2" t="str">
        <f>TEXT(WEEKDAY(DATE(CalendarYear,8,30),1),"aaa")</f>
        <v>Tue</v>
      </c>
      <c r="AG5" s="2" t="str">
        <f>TEXT(WEEKDAY(DATE(CalendarYear,8,31),1),"aaa")</f>
        <v>Wed</v>
      </c>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COUNTA(August[[#This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COUNTA(August[[#This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COUNTA(August[[#This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COUNTA(August[[#This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COUNTA(August[[#This Row],[1]:[31]])</f>
        <v>0</v>
      </c>
    </row>
    <row r="12" spans="2:34" ht="30" customHeight="1" x14ac:dyDescent="0.25">
      <c r="B12" s="19" t="str">
        <f>MonthName&amp;" Total"</f>
        <v>August Total</v>
      </c>
      <c r="C12" s="12">
        <f>SUBTOTAL(103,August[1])</f>
        <v>0</v>
      </c>
      <c r="D12" s="12">
        <f>SUBTOTAL(103,August[2])</f>
        <v>0</v>
      </c>
      <c r="E12" s="12">
        <f>SUBTOTAL(103,August[3])</f>
        <v>0</v>
      </c>
      <c r="F12" s="12">
        <f>SUBTOTAL(103,August[4])</f>
        <v>0</v>
      </c>
      <c r="G12" s="12">
        <f>SUBTOTAL(103,August[5])</f>
        <v>0</v>
      </c>
      <c r="H12" s="12">
        <f>SUBTOTAL(103,August[6])</f>
        <v>0</v>
      </c>
      <c r="I12" s="12">
        <f>SUBTOTAL(103,August[7])</f>
        <v>0</v>
      </c>
      <c r="J12" s="12">
        <f>SUBTOTAL(103,August[8])</f>
        <v>0</v>
      </c>
      <c r="K12" s="12">
        <f>SUBTOTAL(103,August[9])</f>
        <v>0</v>
      </c>
      <c r="L12" s="12">
        <f>SUBTOTAL(103,August[10])</f>
        <v>0</v>
      </c>
      <c r="M12" s="12">
        <f>SUBTOTAL(103,August[11])</f>
        <v>0</v>
      </c>
      <c r="N12" s="12">
        <f>SUBTOTAL(103,August[12])</f>
        <v>0</v>
      </c>
      <c r="O12" s="12">
        <f>SUBTOTAL(103,August[13])</f>
        <v>0</v>
      </c>
      <c r="P12" s="12">
        <f>SUBTOTAL(103,August[14])</f>
        <v>0</v>
      </c>
      <c r="Q12" s="12">
        <f>SUBTOTAL(103,August[15])</f>
        <v>0</v>
      </c>
      <c r="R12" s="12">
        <f>SUBTOTAL(103,August[16])</f>
        <v>0</v>
      </c>
      <c r="S12" s="12">
        <f>SUBTOTAL(103,August[17])</f>
        <v>0</v>
      </c>
      <c r="T12" s="12">
        <f>SUBTOTAL(103,August[18])</f>
        <v>0</v>
      </c>
      <c r="U12" s="12">
        <f>SUBTOTAL(103,August[19])</f>
        <v>0</v>
      </c>
      <c r="V12" s="12">
        <f>SUBTOTAL(103,August[20])</f>
        <v>0</v>
      </c>
      <c r="W12" s="12">
        <f>SUBTOTAL(103,August[21])</f>
        <v>0</v>
      </c>
      <c r="X12" s="12">
        <f>SUBTOTAL(103,August[22])</f>
        <v>0</v>
      </c>
      <c r="Y12" s="12">
        <f>SUBTOTAL(103,August[23])</f>
        <v>0</v>
      </c>
      <c r="Z12" s="12">
        <f>SUBTOTAL(103,August[24])</f>
        <v>0</v>
      </c>
      <c r="AA12" s="12">
        <f>SUBTOTAL(103,August[25])</f>
        <v>0</v>
      </c>
      <c r="AB12" s="12">
        <f>SUBTOTAL(103,August[26])</f>
        <v>0</v>
      </c>
      <c r="AC12" s="12">
        <f>SUBTOTAL(103,August[27])</f>
        <v>0</v>
      </c>
      <c r="AD12" s="12">
        <f>SUBTOTAL(103,August[28])</f>
        <v>0</v>
      </c>
      <c r="AE12" s="12">
        <f>SUBTOTAL(103,August[29])</f>
        <v>0</v>
      </c>
      <c r="AF12" s="12">
        <f>SUBTOTAL(109,August[30])</f>
        <v>0</v>
      </c>
      <c r="AG12" s="12">
        <f>SUBTOTAL(109,August[31])</f>
        <v>0</v>
      </c>
      <c r="AH12" s="12">
        <f>SUBTOTAL(109,August[Total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69" priority="2" stopIfTrue="1">
      <formula>C7=KeyCustom2</formula>
    </cfRule>
    <cfRule type="expression" dxfId="368" priority="3" stopIfTrue="1">
      <formula>C7=KeyCustom1</formula>
    </cfRule>
    <cfRule type="expression" dxfId="367" priority="4" stopIfTrue="1">
      <formula>C7=KeySick</formula>
    </cfRule>
    <cfRule type="expression" dxfId="366" priority="5" stopIfTrue="1">
      <formula>C7=KeyPersonal</formula>
    </cfRule>
    <cfRule type="expression" dxfId="36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700-000000000000}"/>
    <dataValidation allowBlank="1" showInputMessage="1" showErrorMessage="1" prompt="Automatically updated year based on year entered in January worksheet" sqref="AH4" xr:uid="{00000000-0002-0000-0700-000001000000}"/>
    <dataValidation allowBlank="1" showInputMessage="1" showErrorMessage="1" prompt="Automatically calculates total number of days an employee was absent this month in this column" sqref="AH6" xr:uid="{00000000-0002-0000-0700-000002000000}"/>
    <dataValidation allowBlank="1" showInputMessage="1" showErrorMessage="1" prompt="Track August absence in this worksheet" sqref="A1" xr:uid="{00000000-0002-0000-07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700-000004000000}"/>
    <dataValidation allowBlank="1" showInputMessage="1" showErrorMessage="1" prompt="Automatically updated title is in this cell. To modify the title, update B1 on January worksheet" sqref="B1" xr:uid="{00000000-0002-0000-0700-000005000000}"/>
    <dataValidation allowBlank="1" showInputMessage="1" showErrorMessage="1" prompt="The letter &quot;V&quot; indicates absence due to vacation" sqref="C2" xr:uid="{00000000-0002-0000-0700-000006000000}"/>
    <dataValidation allowBlank="1" showInputMessage="1" showErrorMessage="1" prompt="The letter &quot;P&quot; indicates absence due to personal reasons" sqref="G2" xr:uid="{00000000-0002-0000-0700-000007000000}"/>
    <dataValidation allowBlank="1" showInputMessage="1" showErrorMessage="1" prompt="The letter &quot;S&quot; indicates absence due to illness" sqref="K2" xr:uid="{00000000-0002-0000-0700-000008000000}"/>
    <dataValidation allowBlank="1" showInputMessage="1" showErrorMessage="1" prompt="Enter a letter and customize the label at right to add another key item" sqref="N2 R2" xr:uid="{00000000-0002-0000-0700-000009000000}"/>
    <dataValidation allowBlank="1" showInputMessage="1" showErrorMessage="1" prompt="Enter a label to describe the custom key at left" sqref="O2:Q2 S2:U2" xr:uid="{00000000-0002-0000-0700-00000A000000}"/>
    <dataValidation allowBlank="1" showInputMessage="1" showErrorMessage="1" prompt="This row defines the keys used in the table: cell C2 is Vacation, G2 is Personal, &amp; K2 is Sick leave. Cells N2 &amp; R2 are customizable " sqref="B2" xr:uid="{00000000-0002-0000-0700-00000B000000}"/>
    <dataValidation allowBlank="1" showInputMessage="1" showErrorMessage="1" prompt="Month name for this absence schedule is in this cell. Absence totals for this month are in last cell of the table. Select employee names in table column B" sqref="B4" xr:uid="{00000000-0002-0000-07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7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'Employee Names'!$B$4:$B$8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A1:AH12"/>
  <sheetViews>
    <sheetView showGridLines="0" zoomScaleNormal="100" workbookViewId="0"/>
  </sheetViews>
  <sheetFormatPr defaultRowHeight="30" customHeight="1" x14ac:dyDescent="0.25"/>
  <cols>
    <col min="1" max="1" width="2.7109375" style="10" customWidth="1"/>
    <col min="2" max="2" width="25.7109375" style="10" customWidth="1"/>
    <col min="3" max="33" width="4.7109375" style="10" customWidth="1"/>
    <col min="34" max="34" width="13.5703125" style="10" customWidth="1"/>
    <col min="35" max="35" width="2.7109375" customWidth="1"/>
  </cols>
  <sheetData>
    <row r="1" spans="2:34" ht="50.1" customHeight="1" x14ac:dyDescent="0.25">
      <c r="B1" s="13" t="str">
        <f>Employee_Absence_Title</f>
        <v xml:space="preserve">                                        Employee Absence Schedule</v>
      </c>
    </row>
    <row r="2" spans="2:34" ht="15" customHeight="1" x14ac:dyDescent="0.25">
      <c r="B2" s="18" t="s">
        <v>62</v>
      </c>
      <c r="C2" s="4" t="s">
        <v>36</v>
      </c>
      <c r="D2" s="49" t="s">
        <v>42</v>
      </c>
      <c r="E2" s="49"/>
      <c r="F2" s="49"/>
      <c r="G2" s="5" t="s">
        <v>40</v>
      </c>
      <c r="H2" s="49" t="s">
        <v>43</v>
      </c>
      <c r="I2" s="49"/>
      <c r="J2" s="49"/>
      <c r="K2" s="6" t="s">
        <v>35</v>
      </c>
      <c r="L2" s="49" t="s">
        <v>44</v>
      </c>
      <c r="M2" s="49"/>
      <c r="N2" s="7"/>
      <c r="O2" s="49" t="s">
        <v>45</v>
      </c>
      <c r="P2" s="49"/>
      <c r="Q2" s="49"/>
      <c r="R2" s="8"/>
      <c r="S2" s="49" t="s">
        <v>46</v>
      </c>
      <c r="T2" s="49"/>
      <c r="U2" s="49"/>
    </row>
    <row r="3" spans="2:34" ht="15" customHeight="1" x14ac:dyDescent="0.25">
      <c r="B3" s="13"/>
    </row>
    <row r="4" spans="2:34" ht="30" customHeight="1" x14ac:dyDescent="0.25">
      <c r="B4" s="11" t="s">
        <v>57</v>
      </c>
      <c r="C4" s="48" t="s">
        <v>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11">
        <f>CalendarYear</f>
        <v>2016</v>
      </c>
    </row>
    <row r="5" spans="2:34" ht="15" customHeight="1" x14ac:dyDescent="0.25">
      <c r="B5" s="11"/>
      <c r="C5" s="2" t="str">
        <f>TEXT(WEEKDAY(DATE(CalendarYear,9,1),1),"aaa")</f>
        <v>Thu</v>
      </c>
      <c r="D5" s="2" t="str">
        <f>TEXT(WEEKDAY(DATE(CalendarYear,9,2),1),"aaa")</f>
        <v>Fri</v>
      </c>
      <c r="E5" s="2" t="str">
        <f>TEXT(WEEKDAY(DATE(CalendarYear,9,3),1),"aaa")</f>
        <v>Sat</v>
      </c>
      <c r="F5" s="2" t="str">
        <f>TEXT(WEEKDAY(DATE(CalendarYear,9,4),1),"aaa")</f>
        <v>Sun</v>
      </c>
      <c r="G5" s="2" t="str">
        <f>TEXT(WEEKDAY(DATE(CalendarYear,9,5),1),"aaa")</f>
        <v>Mon</v>
      </c>
      <c r="H5" s="2" t="str">
        <f>TEXT(WEEKDAY(DATE(CalendarYear,9,6),1),"aaa")</f>
        <v>Tue</v>
      </c>
      <c r="I5" s="2" t="str">
        <f>TEXT(WEEKDAY(DATE(CalendarYear,9,7),1),"aaa")</f>
        <v>Wed</v>
      </c>
      <c r="J5" s="2" t="str">
        <f>TEXT(WEEKDAY(DATE(CalendarYear,9,8),1),"aaa")</f>
        <v>Thu</v>
      </c>
      <c r="K5" s="2" t="str">
        <f>TEXT(WEEKDAY(DATE(CalendarYear,9,9),1),"aaa")</f>
        <v>Fri</v>
      </c>
      <c r="L5" s="2" t="str">
        <f>TEXT(WEEKDAY(DATE(CalendarYear,9,10),1),"aaa")</f>
        <v>Sat</v>
      </c>
      <c r="M5" s="2" t="str">
        <f>TEXT(WEEKDAY(DATE(CalendarYear,9,11),1),"aaa")</f>
        <v>Sun</v>
      </c>
      <c r="N5" s="2" t="str">
        <f>TEXT(WEEKDAY(DATE(CalendarYear,9,12),1),"aaa")</f>
        <v>Mon</v>
      </c>
      <c r="O5" s="2" t="str">
        <f>TEXT(WEEKDAY(DATE(CalendarYear,9,13),1),"aaa")</f>
        <v>Tue</v>
      </c>
      <c r="P5" s="2" t="str">
        <f>TEXT(WEEKDAY(DATE(CalendarYear,9,14),1),"aaa")</f>
        <v>Wed</v>
      </c>
      <c r="Q5" s="2" t="str">
        <f>TEXT(WEEKDAY(DATE(CalendarYear,9,15),1),"aaa")</f>
        <v>Thu</v>
      </c>
      <c r="R5" s="2" t="str">
        <f>TEXT(WEEKDAY(DATE(CalendarYear,9,16),1),"aaa")</f>
        <v>Fri</v>
      </c>
      <c r="S5" s="2" t="str">
        <f>TEXT(WEEKDAY(DATE(CalendarYear,9,17),1),"aaa")</f>
        <v>Sat</v>
      </c>
      <c r="T5" s="2" t="str">
        <f>TEXT(WEEKDAY(DATE(CalendarYear,9,18),1),"aaa")</f>
        <v>Sun</v>
      </c>
      <c r="U5" s="2" t="str">
        <f>TEXT(WEEKDAY(DATE(CalendarYear,9,19),1),"aaa")</f>
        <v>Mon</v>
      </c>
      <c r="V5" s="2" t="str">
        <f>TEXT(WEEKDAY(DATE(CalendarYear,9,20),1),"aaa")</f>
        <v>Tue</v>
      </c>
      <c r="W5" s="2" t="str">
        <f>TEXT(WEEKDAY(DATE(CalendarYear,9,21),1),"aaa")</f>
        <v>Wed</v>
      </c>
      <c r="X5" s="2" t="str">
        <f>TEXT(WEEKDAY(DATE(CalendarYear,9,22),1),"aaa")</f>
        <v>Thu</v>
      </c>
      <c r="Y5" s="2" t="str">
        <f>TEXT(WEEKDAY(DATE(CalendarYear,9,23),1),"aaa")</f>
        <v>Fri</v>
      </c>
      <c r="Z5" s="2" t="str">
        <f>TEXT(WEEKDAY(DATE(CalendarYear,9,24),1),"aaa")</f>
        <v>Sat</v>
      </c>
      <c r="AA5" s="2" t="str">
        <f>TEXT(WEEKDAY(DATE(CalendarYear,9,25),1),"aaa")</f>
        <v>Sun</v>
      </c>
      <c r="AB5" s="2" t="str">
        <f>TEXT(WEEKDAY(DATE(CalendarYear,9,26),1),"aaa")</f>
        <v>Mon</v>
      </c>
      <c r="AC5" s="2" t="str">
        <f>TEXT(WEEKDAY(DATE(CalendarYear,9,27),1),"aaa")</f>
        <v>Tue</v>
      </c>
      <c r="AD5" s="2" t="str">
        <f>TEXT(WEEKDAY(DATE(CalendarYear,9,28),1),"aaa")</f>
        <v>Wed</v>
      </c>
      <c r="AE5" s="2" t="str">
        <f>TEXT(WEEKDAY(DATE(CalendarYear,9,29),1),"aaa")</f>
        <v>Thu</v>
      </c>
      <c r="AF5" s="2" t="str">
        <f>TEXT(WEEKDAY(DATE(CalendarYear,9,30),1),"aaa")</f>
        <v>Fri</v>
      </c>
      <c r="AG5" s="2"/>
      <c r="AH5" s="11"/>
    </row>
    <row r="6" spans="2:34" ht="15" customHeight="1" x14ac:dyDescent="0.25">
      <c r="B6" s="14"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c r="W6" s="3" t="s">
        <v>22</v>
      </c>
      <c r="X6" s="3" t="s">
        <v>23</v>
      </c>
      <c r="Y6" s="3" t="s">
        <v>24</v>
      </c>
      <c r="Z6" s="3" t="s">
        <v>25</v>
      </c>
      <c r="AA6" s="3" t="s">
        <v>26</v>
      </c>
      <c r="AB6" s="3" t="s">
        <v>27</v>
      </c>
      <c r="AC6" s="3" t="s">
        <v>28</v>
      </c>
      <c r="AD6" s="3" t="s">
        <v>29</v>
      </c>
      <c r="AE6" s="3" t="s">
        <v>30</v>
      </c>
      <c r="AF6" s="3" t="s">
        <v>31</v>
      </c>
      <c r="AG6" s="3" t="s">
        <v>32</v>
      </c>
      <c r="AH6" s="15" t="s">
        <v>33</v>
      </c>
    </row>
    <row r="7" spans="2:34" ht="30" customHeight="1" x14ac:dyDescent="0.25">
      <c r="B7" s="16" t="s">
        <v>34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9">
        <f>COUNTA(September[[#This Row],[1]:[31]])</f>
        <v>0</v>
      </c>
    </row>
    <row r="8" spans="2:34" ht="30" customHeight="1" x14ac:dyDescent="0.25">
      <c r="B8" s="16" t="s">
        <v>37</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9">
        <f>COUNTA(September[[#This Row],[1]:[31]])</f>
        <v>0</v>
      </c>
    </row>
    <row r="9" spans="2:34" ht="30" customHeight="1" x14ac:dyDescent="0.25">
      <c r="B9" s="16" t="s">
        <v>48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9">
        <f>COUNTA(September[[#This Row],[1]:[31]])</f>
        <v>0</v>
      </c>
    </row>
    <row r="10" spans="2:34" ht="30" customHeight="1" x14ac:dyDescent="0.25">
      <c r="B10" s="16" t="s">
        <v>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9">
        <f>COUNTA(September[[#This Row],[1]:[31]])</f>
        <v>0</v>
      </c>
    </row>
    <row r="11" spans="2:34" ht="30" customHeight="1" x14ac:dyDescent="0.25">
      <c r="B11" s="16" t="s">
        <v>50</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9">
        <f>COUNTA(September[[#This Row],[1]:[31]])</f>
        <v>0</v>
      </c>
    </row>
    <row r="12" spans="2:34" ht="30" customHeight="1" x14ac:dyDescent="0.25">
      <c r="B12" s="19" t="str">
        <f>MonthName&amp;" Total"</f>
        <v>September Total</v>
      </c>
      <c r="C12" s="12">
        <f>SUBTOTAL(103,September[1])</f>
        <v>0</v>
      </c>
      <c r="D12" s="12">
        <f>SUBTOTAL(103,September[2])</f>
        <v>0</v>
      </c>
      <c r="E12" s="12">
        <f>SUBTOTAL(103,September[3])</f>
        <v>0</v>
      </c>
      <c r="F12" s="12">
        <f>SUBTOTAL(103,September[4])</f>
        <v>0</v>
      </c>
      <c r="G12" s="12">
        <f>SUBTOTAL(103,September[5])</f>
        <v>0</v>
      </c>
      <c r="H12" s="12">
        <f>SUBTOTAL(103,September[6])</f>
        <v>0</v>
      </c>
      <c r="I12" s="12">
        <f>SUBTOTAL(103,September[7])</f>
        <v>0</v>
      </c>
      <c r="J12" s="12">
        <f>SUBTOTAL(103,September[8])</f>
        <v>0</v>
      </c>
      <c r="K12" s="12">
        <f>SUBTOTAL(103,September[9])</f>
        <v>0</v>
      </c>
      <c r="L12" s="12">
        <f>SUBTOTAL(103,September[10])</f>
        <v>0</v>
      </c>
      <c r="M12" s="12">
        <f>SUBTOTAL(103,September[11])</f>
        <v>0</v>
      </c>
      <c r="N12" s="12">
        <f>SUBTOTAL(103,September[12])</f>
        <v>0</v>
      </c>
      <c r="O12" s="12">
        <f>SUBTOTAL(103,September[13])</f>
        <v>0</v>
      </c>
      <c r="P12" s="12">
        <f>SUBTOTAL(103,September[14])</f>
        <v>0</v>
      </c>
      <c r="Q12" s="12">
        <f>SUBTOTAL(103,September[15])</f>
        <v>0</v>
      </c>
      <c r="R12" s="12">
        <f>SUBTOTAL(103,September[16])</f>
        <v>0</v>
      </c>
      <c r="S12" s="12">
        <f>SUBTOTAL(103,September[17])</f>
        <v>0</v>
      </c>
      <c r="T12" s="12">
        <f>SUBTOTAL(103,September[18])</f>
        <v>0</v>
      </c>
      <c r="U12" s="12">
        <f>SUBTOTAL(103,September[19])</f>
        <v>0</v>
      </c>
      <c r="V12" s="12">
        <f>SUBTOTAL(103,September[20])</f>
        <v>0</v>
      </c>
      <c r="W12" s="12">
        <f>SUBTOTAL(103,September[21])</f>
        <v>0</v>
      </c>
      <c r="X12" s="12">
        <f>SUBTOTAL(103,September[22])</f>
        <v>0</v>
      </c>
      <c r="Y12" s="12">
        <f>SUBTOTAL(103,September[23])</f>
        <v>0</v>
      </c>
      <c r="Z12" s="12">
        <f>SUBTOTAL(103,September[24])</f>
        <v>0</v>
      </c>
      <c r="AA12" s="12">
        <f>SUBTOTAL(103,September[25])</f>
        <v>0</v>
      </c>
      <c r="AB12" s="12">
        <f>SUBTOTAL(103,September[26])</f>
        <v>0</v>
      </c>
      <c r="AC12" s="12">
        <f>SUBTOTAL(103,September[27])</f>
        <v>0</v>
      </c>
      <c r="AD12" s="12">
        <f>SUBTOTAL(103,September[28])</f>
        <v>0</v>
      </c>
      <c r="AE12" s="12">
        <f>SUBTOTAL(103,September[29])</f>
        <v>0</v>
      </c>
      <c r="AF12" s="12">
        <f>SUBTOTAL(109,September[30])</f>
        <v>0</v>
      </c>
      <c r="AG12" s="12">
        <f>SUBTOTAL(109,September[31])</f>
        <v>0</v>
      </c>
      <c r="AH12" s="12">
        <f>SUBTOTAL(109,September[Total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95" priority="2" stopIfTrue="1">
      <formula>C7=KeyCustom2</formula>
    </cfRule>
    <cfRule type="expression" dxfId="294" priority="3" stopIfTrue="1">
      <formula>C7=KeyCustom1</formula>
    </cfRule>
    <cfRule type="expression" dxfId="293" priority="4" stopIfTrue="1">
      <formula>C7=KeySick</formula>
    </cfRule>
    <cfRule type="expression" dxfId="292" priority="5" stopIfTrue="1">
      <formula>C7=KeyPersonal</formula>
    </cfRule>
    <cfRule type="expression" dxfId="29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800-000000000000}"/>
    <dataValidation allowBlank="1" showInputMessage="1" showErrorMessage="1" prompt="Month name for this absence schedule is in this cell. Absence totals for this month are in last cell of the table. Select employee names in table column B" sqref="B4" xr:uid="{00000000-0002-0000-0800-000001000000}"/>
    <dataValidation allowBlank="1" showInputMessage="1" showErrorMessage="1" prompt="This row defines the keys used in the table: cell C2 is Vacation, G2 is Personal, &amp; K2 is Sick leave. Cells N2 &amp; R2 are customizable " sqref="B2" xr:uid="{00000000-0002-0000-0800-000002000000}"/>
    <dataValidation allowBlank="1" showInputMessage="1" showErrorMessage="1" prompt="Enter a label to describe the custom key at left" sqref="O2:Q2 S2:U2" xr:uid="{00000000-0002-0000-0800-000003000000}"/>
    <dataValidation allowBlank="1" showInputMessage="1" showErrorMessage="1" prompt="Enter a letter and customize the label at right to add another key item" sqref="N2 R2" xr:uid="{00000000-0002-0000-0800-000004000000}"/>
    <dataValidation allowBlank="1" showInputMessage="1" showErrorMessage="1" prompt="The letter &quot;S&quot; indicates absence due to illness" sqref="K2" xr:uid="{00000000-0002-0000-0800-000005000000}"/>
    <dataValidation allowBlank="1" showInputMessage="1" showErrorMessage="1" prompt="The letter &quot;P&quot; indicates absence due to personal reasons" sqref="G2" xr:uid="{00000000-0002-0000-0800-000006000000}"/>
    <dataValidation allowBlank="1" showInputMessage="1" showErrorMessage="1" prompt="The letter &quot;V&quot; indicates absence due to vacation" sqref="C2" xr:uid="{00000000-0002-0000-0800-000007000000}"/>
    <dataValidation allowBlank="1" showInputMessage="1" showErrorMessage="1" prompt="Automatically updated title is in this cell. To modify the title, update B1 on January worksheet" sqref="B1" xr:uid="{00000000-0002-0000-08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800-000009000000}"/>
    <dataValidation allowBlank="1" showInputMessage="1" showErrorMessage="1" prompt="Track September absence in this worksheet" sqref="A1" xr:uid="{00000000-0002-0000-0800-00000A000000}"/>
    <dataValidation allowBlank="1" showInputMessage="1" showErrorMessage="1" prompt="Automatically calculates total number of days an employee was absent this month in this column" sqref="AH6" xr:uid="{00000000-0002-0000-0800-00000B000000}"/>
    <dataValidation allowBlank="1" showInputMessage="1" showErrorMessage="1" prompt="Automatically updated year based on year entered in January worksheet" sqref="AH4" xr:uid="{00000000-0002-0000-08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8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'Employee Names'!$B$4:$B$8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Template>TM03987167</Template>
  <Application>Microsoft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January</vt:lpstr>
      <vt:lpstr>February</vt:lpstr>
      <vt:lpstr>March</vt:lpstr>
      <vt:lpstr>April</vt:lpstr>
      <vt:lpstr>May</vt:lpstr>
      <vt:lpstr>June</vt:lpstr>
      <vt:lpstr>July</vt:lpstr>
      <vt:lpstr>August</vt:lpstr>
      <vt:lpstr>September</vt:lpstr>
      <vt:lpstr>October</vt:lpstr>
      <vt:lpstr>November</vt:lpstr>
      <vt:lpstr>December</vt:lpstr>
      <vt:lpstr>Employee Names</vt:lpstr>
      <vt:lpstr>CalendarYear</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lastModifiedBy>Dell</cp:lastModifiedBy>
  <dcterms:created xsi:type="dcterms:W3CDTF">2016-12-06T04:52:27Z</dcterms:created>
  <dcterms:modified xsi:type="dcterms:W3CDTF">2022-04-06T10:53:58Z</dcterms:modified>
</cp:coreProperties>
</file>